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31" windowWidth="14760" windowHeight="8325" activeTab="0"/>
  </bookViews>
  <sheets>
    <sheet name="2009" sheetId="1" r:id="rId1"/>
    <sheet name="Sheet2" sheetId="2" r:id="rId2"/>
    <sheet name="Sheet3" sheetId="3" r:id="rId3"/>
    <sheet name="Sheet1" sheetId="4" r:id="rId4"/>
  </sheets>
  <definedNames>
    <definedName name="_xlnm.Print_Area" localSheetId="0">'2009'!$A$1:$J$129</definedName>
    <definedName name="_xlnm.Print_Titles" localSheetId="0">'2009'!$5:$5</definedName>
  </definedNames>
  <calcPr fullCalcOnLoad="1"/>
</workbook>
</file>

<file path=xl/sharedStrings.xml><?xml version="1.0" encoding="utf-8"?>
<sst xmlns="http://schemas.openxmlformats.org/spreadsheetml/2006/main" count="134" uniqueCount="133">
  <si>
    <t>(STATE MONIES ONLY)</t>
  </si>
  <si>
    <t>COUNTY</t>
  </si>
  <si>
    <t>AMOUNT DELINQUENT</t>
  </si>
  <si>
    <t>DELINQUENT %</t>
  </si>
  <si>
    <t xml:space="preserve"> AMOUNT DELINQUENT </t>
  </si>
  <si>
    <t>TOTAL STATE AMOUNT DELINQUENT</t>
  </si>
  <si>
    <t>TOTAL STATE DELINQUENT %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</si>
  <si>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</si>
  <si>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</si>
  <si>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</si>
  <si>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</si>
  <si>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</si>
  <si>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</si>
  <si>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</si>
  <si>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</si>
  <si>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</si>
  <si>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</si>
  <si>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</si>
  <si>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</si>
  <si>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</si>
  <si>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</si>
  <si>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</si>
  <si>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</si>
  <si>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</si>
  <si>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</si>
  <si>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</si>
  <si>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</si>
  <si>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</si>
  <si>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</si>
  <si>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</si>
  <si>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</si>
  <si>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</si>
  <si>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</si>
  <si>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</si>
  <si>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</si>
  <si>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</si>
  <si>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</si>
  <si>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</si>
  <si>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</si>
  <si>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</si>
  <si>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</si>
  <si>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</si>
  <si>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</si>
  <si>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</si>
  <si>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</si>
  <si>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</si>
  <si>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</si>
  <si>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</si>
  <si>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</si>
  <si>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</si>
  <si>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</si>
  <si>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</si>
  <si>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</si>
  <si>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</si>
  <si>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</si>
  <si>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</si>
  <si>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</si>
  <si>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</si>
  <si>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</si>
  <si>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</si>
  <si>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</si>
  <si>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</si>
  <si>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</si>
  <si>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</si>
  <si>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</si>
  <si>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</si>
  <si>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</si>
  <si>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</si>
  <si>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</si>
  <si>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</si>
  <si>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</si>
  <si>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</si>
  <si>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</si>
  <si>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</si>
  <si>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</si>
  <si>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</si>
  <si>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</si>
  <si>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</si>
  <si>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</si>
  <si>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MADISON</t>
  </si>
  <si>
    <t>MAGOFFIN</t>
  </si>
  <si>
    <t>MARION</t>
  </si>
  <si>
    <t>MARSHALL</t>
  </si>
  <si>
    <t>MARTIN</t>
  </si>
  <si>
    <t>MASON</t>
  </si>
  <si>
    <t>MCCRACKEN</t>
  </si>
  <si>
    <t>MCCREARY</t>
  </si>
  <si>
    <t>MCLEAN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</si>
  <si>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</si>
  <si>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</si>
  <si>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</si>
  <si>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</si>
  <si>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</si>
  <si>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</si>
  <si>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</si>
  <si>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</si>
  <si>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</si>
  <si>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</si>
  <si>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</si>
  <si>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</si>
  <si>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</si>
  <si>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</si>
  <si>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</si>
  <si>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</si>
  <si>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</si>
  <si>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</si>
  <si>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</si>
  <si>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</si>
  <si>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</si>
  <si>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</si>
  <si>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</si>
  <si>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</si>
  <si>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</si>
  <si>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</si>
  <si>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</si>
  <si>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</si>
  <si>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</si>
  <si>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</si>
  <si>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</si>
  <si>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</si>
  <si>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</si>
  <si>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</si>
  <si>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</si>
  <si>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</si>
  <si>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</si>
  <si>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</si>
  <si>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</si>
  <si>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TOTALS</t>
  </si>
  <si>
    <t>NOTE: Effective 2006, Intagible Property Taxes are exempt.</t>
  </si>
  <si>
    <t>TOTAL REAL PROPERTY TAXES CHARGED</t>
  </si>
  <si>
    <t xml:space="preserve"> TOTAL TANGIBLE PROPERTY TAXES CHARGED </t>
  </si>
  <si>
    <t>TOTAL STATE PROPERTY TAXES CHARGED</t>
  </si>
  <si>
    <t xml:space="preserve"> SHERIFF COLLECTION-DELINQUENCY REPORT 2009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</si>
</sst>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;[Red]0.00"/>
    <numFmt numFmtId="167" formatCode="[$-409]dddd\,\ mmmm\ dd\,\ yyyy"/>
    <numFmt numFmtId="168" formatCode="mm/dd/yy;@"/>
    <numFmt numFmtId="169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164" fontId="0" fillId="0" borderId="0" xfId="42" applyNumberFormat="1" applyFont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 applyProtection="1">
      <alignment horizontal="center" wrapText="1"/>
      <protection/>
    </xf>
    <xf numFmtId="0" fontId="1" fillId="0" borderId="0" xfId="0" applyFont="1" applyAlignment="1">
      <alignment horizontal="center"/>
    </xf>
    <xf numFmtId="164" fontId="1" fillId="0" borderId="0" xfId="42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168" fontId="1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workbookViewId="0" topLeftCell="A108">
      <selection activeCell="G88" sqref="G88"/>
    </sheetView>
  </sheetViews>
  <sheetFormatPr defaultColWidth="9.140625" defaultRowHeight="12.75"/>
  <cols>
    <col min="1" max="1" width="14.28125" style="0" customWidth="1"/>
    <col min="2" max="2" width="12.7109375" style="0" customWidth="1"/>
    <col min="3" max="4" width="12.57421875" style="0" customWidth="1"/>
    <col min="5" max="5" width="13.7109375" style="0" customWidth="1"/>
    <col min="6" max="6" width="13.421875" style="0" customWidth="1"/>
    <col min="7" max="7" width="13.140625" style="0" customWidth="1"/>
    <col min="8" max="9" width="12.57421875" style="0" customWidth="1"/>
    <col min="10" max="10" width="12.7109375" style="0" customWidth="1"/>
  </cols>
  <sheetData>
    <row r="1" spans="1:10" ht="12.75">
      <c r="A1" s="22" t="s">
        <v>132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2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2.7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6:7" ht="12.75">
      <c r="F4" s="1"/>
      <c r="G4" s="1"/>
    </row>
    <row r="5" spans="1:10" ht="68.25" customHeight="1">
      <c r="A5" s="8" t="s">
        <v>1</v>
      </c>
      <c r="B5" s="9" t="s">
        <v>129</v>
      </c>
      <c r="C5" s="9" t="s">
        <v>2</v>
      </c>
      <c r="D5" s="9" t="s">
        <v>3</v>
      </c>
      <c r="E5" s="9" t="s">
        <v>130</v>
      </c>
      <c r="F5" s="9" t="s">
        <v>4</v>
      </c>
      <c r="G5" s="9" t="s">
        <v>3</v>
      </c>
      <c r="H5" s="9" t="s">
        <v>131</v>
      </c>
      <c r="I5" s="9" t="s">
        <v>5</v>
      </c>
      <c r="J5" s="10" t="s">
        <v>6</v>
      </c>
    </row>
    <row r="6" spans="1:10" ht="12.75">
      <c r="A6" s="1" t="s">
        <v>7</v>
      </c>
      <c r="B6" s="3">
        <f>618679.32+159.16+31776.99-4157.94</f>
        <v>646457.53</v>
      </c>
      <c r="C6" s="3">
        <v>30636.75</v>
      </c>
      <c r="D6" s="19">
        <f aca="true" t="shared" si="0" ref="D6:D69">C6/B6*100</f>
        <v>4.739174435790082</v>
      </c>
      <c r="E6" s="3">
        <f>89642.63+64.32+23481.27+17511.72+33+171.5+20.25+1.55-157.37-33</f>
        <v>130735.87000000002</v>
      </c>
      <c r="F6" s="3">
        <f>260.21+64.72+37.5</f>
        <v>362.42999999999995</v>
      </c>
      <c r="G6" s="19">
        <f aca="true" t="shared" si="1" ref="G6:G49">F6/E6*100</f>
        <v>0.27722307580926325</v>
      </c>
      <c r="H6" s="5">
        <f>(B6+E6)</f>
        <v>777193.4</v>
      </c>
      <c r="I6" s="5">
        <f>(C6+F6)</f>
        <v>30999.18</v>
      </c>
      <c r="J6" s="19">
        <f aca="true" t="shared" si="2" ref="J6:J69">I6/H6*100</f>
        <v>3.9886056675211083</v>
      </c>
    </row>
    <row r="7" spans="1:10" ht="12.75">
      <c r="A7" s="1" t="s">
        <v>8</v>
      </c>
      <c r="B7" s="3">
        <f>736089.34+41.11+2925.32+274.99+1057.5-3672.58</f>
        <v>736715.6799999999</v>
      </c>
      <c r="C7" s="3">
        <v>15899.22</v>
      </c>
      <c r="D7" s="19">
        <f t="shared" si="0"/>
        <v>2.158121570047213</v>
      </c>
      <c r="E7" s="3">
        <f>111338.69+461.12+98324.67+21069.25-18.06</f>
        <v>231175.66999999998</v>
      </c>
      <c r="F7" s="3">
        <f>143.14+99.32</f>
        <v>242.45999999999998</v>
      </c>
      <c r="G7" s="19">
        <f t="shared" si="1"/>
        <v>0.10488127924534618</v>
      </c>
      <c r="H7" s="5">
        <f aca="true" t="shared" si="3" ref="H7:H70">(B7+E7)</f>
        <v>967891.3499999999</v>
      </c>
      <c r="I7" s="5">
        <f aca="true" t="shared" si="4" ref="I7:I70">(C7+F7)</f>
        <v>16141.679999999998</v>
      </c>
      <c r="J7" s="19">
        <f t="shared" si="2"/>
        <v>1.667716112970738</v>
      </c>
    </row>
    <row r="8" spans="1:10" ht="12.75">
      <c r="A8" s="1" t="s">
        <v>9</v>
      </c>
      <c r="B8" s="14">
        <f>1531518.19+223.2+24.4-3368.31-15.86</f>
        <v>1528381.6199999996</v>
      </c>
      <c r="C8" s="14">
        <v>40506.02</v>
      </c>
      <c r="D8" s="18">
        <f t="shared" si="0"/>
        <v>2.6502556344533903</v>
      </c>
      <c r="E8" s="14">
        <f>108413.42+120509.22+43794.63+164.34+1-4958.68</f>
        <v>267923.93000000005</v>
      </c>
      <c r="F8" s="14">
        <f>1186.58+216.93</f>
        <v>1403.51</v>
      </c>
      <c r="G8" s="18">
        <f t="shared" si="1"/>
        <v>0.5238464514909138</v>
      </c>
      <c r="H8" s="15">
        <f t="shared" si="3"/>
        <v>1796305.5499999998</v>
      </c>
      <c r="I8" s="15">
        <f t="shared" si="4"/>
        <v>41909.53</v>
      </c>
      <c r="J8" s="18">
        <f t="shared" si="2"/>
        <v>2.3330958366186647</v>
      </c>
    </row>
    <row r="9" spans="1:10" ht="12.75">
      <c r="A9" s="1" t="s">
        <v>10</v>
      </c>
      <c r="B9" s="3">
        <f>387686.83+169.34+208.61-2180.92</f>
        <v>385883.86000000004</v>
      </c>
      <c r="C9" s="3">
        <v>5328.75</v>
      </c>
      <c r="D9" s="19">
        <f t="shared" si="0"/>
        <v>1.3809206739043192</v>
      </c>
      <c r="E9" s="3">
        <f>160416.11+254334.56+9317.33+20.63+2.15</f>
        <v>424090.78</v>
      </c>
      <c r="F9" s="3">
        <v>320.35</v>
      </c>
      <c r="G9" s="19">
        <f t="shared" si="1"/>
        <v>0.07553807229669082</v>
      </c>
      <c r="H9" s="5">
        <f t="shared" si="3"/>
        <v>809974.6400000001</v>
      </c>
      <c r="I9" s="5">
        <f t="shared" si="4"/>
        <v>5649.1</v>
      </c>
      <c r="J9" s="19">
        <f t="shared" si="2"/>
        <v>0.6974415890354295</v>
      </c>
    </row>
    <row r="10" spans="1:10" ht="12.75">
      <c r="A10" s="1" t="s">
        <v>11</v>
      </c>
      <c r="B10" s="3">
        <f>2138200.68+1423.86+3535.6+7.56+630.28-8360.36</f>
        <v>2135437.62</v>
      </c>
      <c r="C10" s="3">
        <v>38853.91</v>
      </c>
      <c r="D10" s="19">
        <f t="shared" si="0"/>
        <v>1.8194823223166783</v>
      </c>
      <c r="E10" s="3">
        <f>431582.47+291.42+512246.89+84115.98+134.34+2466.96-398.46-94.4</f>
        <v>1030345.2</v>
      </c>
      <c r="F10" s="3">
        <f>4757.43+369.42</f>
        <v>5126.85</v>
      </c>
      <c r="G10" s="19">
        <f t="shared" si="1"/>
        <v>0.4975856635232542</v>
      </c>
      <c r="H10" s="5">
        <f t="shared" si="3"/>
        <v>3165782.8200000003</v>
      </c>
      <c r="I10" s="5">
        <f t="shared" si="4"/>
        <v>43980.76</v>
      </c>
      <c r="J10" s="19">
        <f t="shared" si="2"/>
        <v>1.3892538591766064</v>
      </c>
    </row>
    <row r="11" spans="1:10" ht="12.75">
      <c r="A11" s="1" t="s">
        <v>12</v>
      </c>
      <c r="B11" s="3">
        <f>341580.82+41.11+599.38-4916.11</f>
        <v>337305.2</v>
      </c>
      <c r="C11" s="3">
        <v>19345.6</v>
      </c>
      <c r="D11" s="19">
        <f t="shared" si="0"/>
        <v>5.7353399828997595</v>
      </c>
      <c r="E11" s="3">
        <f>45209.23+4086.97+4101.27+1.94+7.94</f>
        <v>53407.350000000006</v>
      </c>
      <c r="F11" s="3">
        <f>446.27+38.33</f>
        <v>484.59999999999997</v>
      </c>
      <c r="G11" s="19">
        <f t="shared" si="1"/>
        <v>0.9073657464749701</v>
      </c>
      <c r="H11" s="5">
        <f t="shared" si="3"/>
        <v>390712.55000000005</v>
      </c>
      <c r="I11" s="5">
        <f t="shared" si="4"/>
        <v>19830.199999999997</v>
      </c>
      <c r="J11" s="19">
        <f t="shared" si="2"/>
        <v>5.075393662169284</v>
      </c>
    </row>
    <row r="12" spans="1:10" ht="12.75">
      <c r="A12" s="1" t="s">
        <v>13</v>
      </c>
      <c r="B12" s="3">
        <f>770908.79+82.23+140876.67-8246.89</f>
        <v>903620.8</v>
      </c>
      <c r="C12" s="3">
        <v>40227.42</v>
      </c>
      <c r="D12" s="19">
        <f t="shared" si="0"/>
        <v>4.451803234277032</v>
      </c>
      <c r="E12" s="3">
        <f>413635.26+50191.05+22976.95+242.69+63.66-242.69</f>
        <v>486866.92</v>
      </c>
      <c r="F12" s="3">
        <f>31534.75+287.56</f>
        <v>31822.31</v>
      </c>
      <c r="G12" s="19">
        <f t="shared" si="1"/>
        <v>6.536141334063116</v>
      </c>
      <c r="H12" s="5">
        <f t="shared" si="3"/>
        <v>1390487.72</v>
      </c>
      <c r="I12" s="5">
        <f t="shared" si="4"/>
        <v>72049.73</v>
      </c>
      <c r="J12" s="19">
        <f t="shared" si="2"/>
        <v>5.181615699561877</v>
      </c>
    </row>
    <row r="13" spans="1:10" ht="12.75">
      <c r="A13" s="1" t="s">
        <v>14</v>
      </c>
      <c r="B13" s="3">
        <f>12393113.81+11629.94+1795.74+37218.08-53708.32</f>
        <v>12390049.25</v>
      </c>
      <c r="C13" s="3">
        <f>130850.23+17008.23+869</f>
        <v>148727.46</v>
      </c>
      <c r="D13" s="19">
        <f t="shared" si="0"/>
        <v>1.2003782793680178</v>
      </c>
      <c r="E13" s="3">
        <f>2593866.11+2707.38+120892.82+1039061.71+14479.19+1544.05+489194.61+4050.83+1398.22+14560.42+2.25+5117.72-100821.85-8977.79-4834.53</f>
        <v>4172241.1399999987</v>
      </c>
      <c r="F13" s="3">
        <f>23651.91+1027.36+1363.61+11.44+2438.1+189.43+2.25+0.33</f>
        <v>28684.43</v>
      </c>
      <c r="G13" s="19">
        <f t="shared" si="1"/>
        <v>0.6875065231728196</v>
      </c>
      <c r="H13" s="5">
        <f t="shared" si="3"/>
        <v>16562290.389999999</v>
      </c>
      <c r="I13" s="5">
        <f t="shared" si="4"/>
        <v>177411.88999999998</v>
      </c>
      <c r="J13" s="19">
        <f t="shared" si="2"/>
        <v>1.0711796848286028</v>
      </c>
    </row>
    <row r="14" spans="1:10" s="13" customFormat="1" ht="12.75">
      <c r="A14" s="1" t="s">
        <v>15</v>
      </c>
      <c r="B14" s="14">
        <f>1233734.32+742.05+374.25-2831.74</f>
        <v>1232018.8800000001</v>
      </c>
      <c r="C14" s="14">
        <v>21114.48</v>
      </c>
      <c r="D14" s="18">
        <f t="shared" si="0"/>
        <v>1.7138113987344088</v>
      </c>
      <c r="E14" s="14">
        <f>226726.4+55.31+263801.47+54084.52+11.95+1979.34-114.3-1591.1-2.69</f>
        <v>544950.8999999999</v>
      </c>
      <c r="F14" s="14">
        <f>1632.02+1877.49+18.76+0.78</f>
        <v>3529.0500000000006</v>
      </c>
      <c r="G14" s="18">
        <f t="shared" si="1"/>
        <v>0.6475904526444495</v>
      </c>
      <c r="H14" s="15">
        <f t="shared" si="3"/>
        <v>1776969.78</v>
      </c>
      <c r="I14" s="15">
        <f t="shared" si="4"/>
        <v>24643.53</v>
      </c>
      <c r="J14" s="18">
        <f t="shared" si="2"/>
        <v>1.3868288744899195</v>
      </c>
    </row>
    <row r="15" spans="1:10" ht="12.75">
      <c r="A15" s="1" t="s">
        <v>16</v>
      </c>
      <c r="B15" s="14">
        <f>2066487.57+640.13+9985.35+29.13+385.07+337.5-11530.64-382.98</f>
        <v>2065951.1300000001</v>
      </c>
      <c r="C15" s="14">
        <f>121410.53+219.6</f>
        <v>121630.13</v>
      </c>
      <c r="D15" s="18">
        <f t="shared" si="0"/>
        <v>5.887367238933672</v>
      </c>
      <c r="E15" s="14">
        <f>871220.18+595504.84+173520.3+11324.3+42.85-32271.37</f>
        <v>1619341.1</v>
      </c>
      <c r="F15" s="14">
        <f>20622.57+2.68+746.5</f>
        <v>21371.75</v>
      </c>
      <c r="G15" s="18">
        <f t="shared" si="1"/>
        <v>1.3197806194136614</v>
      </c>
      <c r="H15" s="15">
        <f t="shared" si="3"/>
        <v>3685292.2300000004</v>
      </c>
      <c r="I15" s="15">
        <f t="shared" si="4"/>
        <v>143001.88</v>
      </c>
      <c r="J15" s="18">
        <f t="shared" si="2"/>
        <v>3.8803403115741513</v>
      </c>
    </row>
    <row r="16" spans="1:10" ht="12.75">
      <c r="A16" s="1" t="s">
        <v>17</v>
      </c>
      <c r="B16" s="3">
        <f>1876952.83+231.43+349.31+154.94-2587.99</f>
        <v>1875100.52</v>
      </c>
      <c r="C16" s="3">
        <v>24827.24</v>
      </c>
      <c r="D16" s="19">
        <f t="shared" si="0"/>
        <v>1.3240484835447648</v>
      </c>
      <c r="E16" s="3">
        <f>461425.94+421163.89+71612.5+735.49+0.26-201.65-8.89</f>
        <v>954727.54</v>
      </c>
      <c r="F16" s="3">
        <f>1333.77+288.83+842.45</f>
        <v>2465.05</v>
      </c>
      <c r="G16" s="19">
        <f t="shared" si="1"/>
        <v>0.25819408121399745</v>
      </c>
      <c r="H16" s="5">
        <f t="shared" si="3"/>
        <v>2829828.06</v>
      </c>
      <c r="I16" s="5">
        <f t="shared" si="4"/>
        <v>27292.29</v>
      </c>
      <c r="J16" s="19">
        <f t="shared" si="2"/>
        <v>0.964450469121435</v>
      </c>
    </row>
    <row r="17" spans="1:10" ht="12.75">
      <c r="A17" s="1" t="s">
        <v>18</v>
      </c>
      <c r="B17" s="3">
        <f>316968.28+18.3+392.24-742.17</f>
        <v>316636.65</v>
      </c>
      <c r="C17" s="3">
        <v>4555.52</v>
      </c>
      <c r="D17" s="19">
        <f t="shared" si="0"/>
        <v>1.4387216388248172</v>
      </c>
      <c r="E17" s="3">
        <f>16002.78+38202.99+4592.72+2.01-428.9</f>
        <v>58371.6</v>
      </c>
      <c r="F17" s="3">
        <f>196.13+1.63</f>
        <v>197.76</v>
      </c>
      <c r="G17" s="19">
        <f t="shared" si="1"/>
        <v>0.3387948934070678</v>
      </c>
      <c r="H17" s="5">
        <f t="shared" si="3"/>
        <v>375008.25</v>
      </c>
      <c r="I17" s="5">
        <f t="shared" si="4"/>
        <v>4753.280000000001</v>
      </c>
      <c r="J17" s="19">
        <f t="shared" si="2"/>
        <v>1.2675134480374768</v>
      </c>
    </row>
    <row r="18" spans="1:10" ht="12.75">
      <c r="A18" s="1" t="s">
        <v>19</v>
      </c>
      <c r="B18" s="3">
        <f>338004.64+68.81+14286.75+34.16-6618.09</f>
        <v>345776.26999999996</v>
      </c>
      <c r="C18" s="3">
        <v>38032.7</v>
      </c>
      <c r="D18" s="19">
        <f t="shared" si="0"/>
        <v>10.999222127070778</v>
      </c>
      <c r="E18" s="3">
        <f>229223.79+22104.77+7054.37+0.01</f>
        <v>258382.94</v>
      </c>
      <c r="F18" s="3">
        <f>20179.56+136.66</f>
        <v>20316.22</v>
      </c>
      <c r="G18" s="19">
        <f t="shared" si="1"/>
        <v>7.862833358889716</v>
      </c>
      <c r="H18" s="5">
        <f t="shared" si="3"/>
        <v>604159.21</v>
      </c>
      <c r="I18" s="5">
        <f t="shared" si="4"/>
        <v>58348.92</v>
      </c>
      <c r="J18" s="19">
        <f t="shared" si="2"/>
        <v>9.657871473977861</v>
      </c>
    </row>
    <row r="19" spans="1:10" ht="12.75">
      <c r="A19" s="1" t="s">
        <v>20</v>
      </c>
      <c r="B19" s="3">
        <f>861783.46+171.9+1221.01+189.47-2752.63</f>
        <v>860613.21</v>
      </c>
      <c r="C19" s="3">
        <v>21176.05</v>
      </c>
      <c r="D19" s="19">
        <f t="shared" si="0"/>
        <v>2.460576918172102</v>
      </c>
      <c r="E19" s="3">
        <f>85339.5+11448.77+12513.77+314.44+4.29-11.5</f>
        <v>109609.27</v>
      </c>
      <c r="F19" s="3">
        <f>948.01+353.87+28.71</f>
        <v>1330.5900000000001</v>
      </c>
      <c r="G19" s="19">
        <f t="shared" si="1"/>
        <v>1.2139392954628747</v>
      </c>
      <c r="H19" s="5">
        <f t="shared" si="3"/>
        <v>970222.48</v>
      </c>
      <c r="I19" s="5">
        <f t="shared" si="4"/>
        <v>22506.64</v>
      </c>
      <c r="J19" s="19">
        <f t="shared" si="2"/>
        <v>2.3197401074442228</v>
      </c>
    </row>
    <row r="20" spans="1:10" ht="12.75">
      <c r="A20" s="1" t="s">
        <v>21</v>
      </c>
      <c r="B20" s="3">
        <f>5439977.24+1425.34+1477.78+21794.46+3576.23-47727.54</f>
        <v>5420523.510000001</v>
      </c>
      <c r="C20" s="3">
        <v>116409.6</v>
      </c>
      <c r="D20" s="19">
        <f t="shared" si="0"/>
        <v>2.14757116697756</v>
      </c>
      <c r="E20" s="3">
        <f>473241.38+4.6+426.47+199663.88+60889.41+1130.41+2274.19-810.73-2315.24+0.01</f>
        <v>734504.38</v>
      </c>
      <c r="F20" s="3">
        <f>8626.45+83.02+2.96</f>
        <v>8712.43</v>
      </c>
      <c r="G20" s="19">
        <f t="shared" si="1"/>
        <v>1.1861644718851099</v>
      </c>
      <c r="H20" s="5">
        <f t="shared" si="3"/>
        <v>6155027.890000001</v>
      </c>
      <c r="I20" s="5">
        <f t="shared" si="4"/>
        <v>125122.03</v>
      </c>
      <c r="J20" s="19">
        <f t="shared" si="2"/>
        <v>2.0328426164125797</v>
      </c>
    </row>
    <row r="21" spans="1:10" ht="12.75">
      <c r="A21" s="1" t="s">
        <v>22</v>
      </c>
      <c r="B21" s="3">
        <f>399097.35+149.76+2489.02+427.49-2330.74</f>
        <v>399832.88</v>
      </c>
      <c r="C21" s="3">
        <v>7996.84</v>
      </c>
      <c r="D21" s="19">
        <f t="shared" si="0"/>
        <v>2.000045619059643</v>
      </c>
      <c r="E21" s="3">
        <f>41765.09+2333.36+43433.58+7295.91+2.4+1.6</f>
        <v>94831.94</v>
      </c>
      <c r="F21" s="3">
        <f>546.98+417.94+30.15</f>
        <v>995.07</v>
      </c>
      <c r="G21" s="19">
        <f t="shared" si="1"/>
        <v>1.049298369304688</v>
      </c>
      <c r="H21" s="5">
        <f t="shared" si="3"/>
        <v>494664.82</v>
      </c>
      <c r="I21" s="5">
        <f t="shared" si="4"/>
        <v>8991.91</v>
      </c>
      <c r="J21" s="19">
        <f t="shared" si="2"/>
        <v>1.8177783493881776</v>
      </c>
    </row>
    <row r="22" spans="1:10" ht="12.75">
      <c r="A22" s="1" t="s">
        <v>23</v>
      </c>
      <c r="B22" s="3">
        <f>434836.03+41.11+175.31+1230.89-4535.45</f>
        <v>431747.89</v>
      </c>
      <c r="C22" s="3">
        <v>12746.22</v>
      </c>
      <c r="D22" s="19">
        <f t="shared" si="0"/>
        <v>2.952236778736776</v>
      </c>
      <c r="E22" s="3">
        <f>98788.47+71596.68+19311.21+597.43+3.76-778.14</f>
        <v>189519.40999999997</v>
      </c>
      <c r="F22" s="3">
        <f>301.58+3.75</f>
        <v>305.33</v>
      </c>
      <c r="G22" s="19">
        <f t="shared" si="1"/>
        <v>0.1611075087243043</v>
      </c>
      <c r="H22" s="5">
        <f t="shared" si="3"/>
        <v>621267.3</v>
      </c>
      <c r="I22" s="5">
        <f t="shared" si="4"/>
        <v>13051.55</v>
      </c>
      <c r="J22" s="19">
        <f t="shared" si="2"/>
        <v>2.100794617711249</v>
      </c>
    </row>
    <row r="23" spans="1:10" ht="12.75">
      <c r="A23" s="1" t="s">
        <v>24</v>
      </c>
      <c r="B23" s="3">
        <f>1902742.9+618.17+1121.07+2705.96-8339.74</f>
        <v>1898848.3599999999</v>
      </c>
      <c r="C23" s="3">
        <v>36789.31</v>
      </c>
      <c r="D23" s="19">
        <f t="shared" si="0"/>
        <v>1.9374538154273677</v>
      </c>
      <c r="E23" s="3">
        <f>291359.09+978.42+544.61+185680.38+62594.28+71.96+14.88+333.21+22.01-1301.9-355.75-102.2</f>
        <v>539838.99</v>
      </c>
      <c r="F23" s="3">
        <f>3869.67+282.52</f>
        <v>4152.1900000000005</v>
      </c>
      <c r="G23" s="19">
        <f t="shared" si="1"/>
        <v>0.7691534099824839</v>
      </c>
      <c r="H23" s="5">
        <f t="shared" si="3"/>
        <v>2438687.3499999996</v>
      </c>
      <c r="I23" s="5">
        <f t="shared" si="4"/>
        <v>40941.5</v>
      </c>
      <c r="J23" s="19">
        <f t="shared" si="2"/>
        <v>1.6788334921243597</v>
      </c>
    </row>
    <row r="24" spans="1:10" ht="12.75">
      <c r="A24" s="1" t="s">
        <v>25</v>
      </c>
      <c r="B24" s="14">
        <f>6294297.4+2487.55+1674.9-16528.94</f>
        <v>6281930.91</v>
      </c>
      <c r="C24" s="14">
        <v>86455.16</v>
      </c>
      <c r="D24" s="18">
        <f t="shared" si="0"/>
        <v>1.3762513666359313</v>
      </c>
      <c r="E24" s="14">
        <f>715570.1+89.83+155883.66+80885.67+182.6+2.77-2466.86-36.59-24.26-2.78</f>
        <v>950084.14</v>
      </c>
      <c r="F24" s="14">
        <f>9549.76+323.81+206.67+154.85</f>
        <v>10235.09</v>
      </c>
      <c r="G24" s="18">
        <f t="shared" si="1"/>
        <v>1.0772824815284254</v>
      </c>
      <c r="H24" s="15">
        <f t="shared" si="3"/>
        <v>7232015.05</v>
      </c>
      <c r="I24" s="15">
        <f t="shared" si="4"/>
        <v>96690.25</v>
      </c>
      <c r="J24" s="18">
        <f t="shared" si="2"/>
        <v>1.3369752320966202</v>
      </c>
    </row>
    <row r="25" spans="1:10" ht="12.75">
      <c r="A25" s="1" t="s">
        <v>26</v>
      </c>
      <c r="B25" s="3">
        <f>165653.17+211.37+85.09+161.48-1626.34</f>
        <v>164484.77000000002</v>
      </c>
      <c r="C25" s="3">
        <v>4431.01</v>
      </c>
      <c r="D25" s="19">
        <f t="shared" si="0"/>
        <v>2.6938725086827184</v>
      </c>
      <c r="E25" s="3">
        <f>23235.35+588.6+2.03+2.97</f>
        <v>23828.949999999997</v>
      </c>
      <c r="F25" s="3">
        <f>26.69+158.81</f>
        <v>185.5</v>
      </c>
      <c r="G25" s="19">
        <f t="shared" si="1"/>
        <v>0.7784648505284539</v>
      </c>
      <c r="H25" s="5">
        <f t="shared" si="3"/>
        <v>188313.72000000003</v>
      </c>
      <c r="I25" s="5">
        <f t="shared" si="4"/>
        <v>4616.51</v>
      </c>
      <c r="J25" s="19">
        <f t="shared" si="2"/>
        <v>2.45149955085588</v>
      </c>
    </row>
    <row r="26" spans="1:10" ht="12.75">
      <c r="A26" s="1" t="s">
        <v>27</v>
      </c>
      <c r="B26" s="14">
        <f>570665.44+949.17-1083.85</f>
        <v>570530.76</v>
      </c>
      <c r="C26" s="14">
        <v>17359.87</v>
      </c>
      <c r="D26" s="18">
        <f t="shared" si="0"/>
        <v>3.042757939992578</v>
      </c>
      <c r="E26" s="14">
        <f>552071.16+2770.78+511775.43+165356.61+115133.39-2784.5</f>
        <v>1344322.8699999999</v>
      </c>
      <c r="F26" s="14">
        <f>730+41.97</f>
        <v>771.97</v>
      </c>
      <c r="G26" s="18">
        <f t="shared" si="1"/>
        <v>0.05742444893465214</v>
      </c>
      <c r="H26" s="15">
        <f t="shared" si="3"/>
        <v>1914853.63</v>
      </c>
      <c r="I26" s="15">
        <f t="shared" si="4"/>
        <v>18131.84</v>
      </c>
      <c r="J26" s="18">
        <f t="shared" si="2"/>
        <v>0.946904751148003</v>
      </c>
    </row>
    <row r="27" spans="1:10" ht="12.75">
      <c r="A27" s="1" t="s">
        <v>28</v>
      </c>
      <c r="B27" s="14">
        <f>754067.23+368.07+1978.93+251.94-12404.83</f>
        <v>744261.34</v>
      </c>
      <c r="C27" s="14">
        <f>32205.16+48.8</f>
        <v>32253.96</v>
      </c>
      <c r="D27" s="18">
        <f t="shared" si="0"/>
        <v>4.33368741146759</v>
      </c>
      <c r="E27" s="14">
        <f>98678.21+39031.39+17809.75+12.07+0.32-702.35</f>
        <v>154829.39</v>
      </c>
      <c r="F27" s="14">
        <f>1309.46+62.54+0.32</f>
        <v>1372.32</v>
      </c>
      <c r="G27" s="18">
        <f t="shared" si="1"/>
        <v>0.8863433486368446</v>
      </c>
      <c r="H27" s="15">
        <f t="shared" si="3"/>
        <v>899090.73</v>
      </c>
      <c r="I27" s="15">
        <f t="shared" si="4"/>
        <v>33626.28</v>
      </c>
      <c r="J27" s="18">
        <f t="shared" si="2"/>
        <v>3.7400318875493244</v>
      </c>
    </row>
    <row r="28" spans="1:10" ht="12.75">
      <c r="A28" s="1" t="s">
        <v>29</v>
      </c>
      <c r="B28" s="3">
        <f>513483.29+65.51+253.37-2434.75</f>
        <v>511367.42</v>
      </c>
      <c r="C28" s="3">
        <v>6220.48</v>
      </c>
      <c r="D28" s="19">
        <f t="shared" si="0"/>
        <v>1.2164404216443823</v>
      </c>
      <c r="E28" s="3">
        <f>48163.57+19413.08+11173.58+5.43+1.15-298.17</f>
        <v>78458.63999999998</v>
      </c>
      <c r="F28" s="3">
        <f>239.56+9.06</f>
        <v>248.62</v>
      </c>
      <c r="G28" s="19">
        <f t="shared" si="1"/>
        <v>0.316880333383296</v>
      </c>
      <c r="H28" s="5">
        <f t="shared" si="3"/>
        <v>589826.0599999999</v>
      </c>
      <c r="I28" s="5">
        <f t="shared" si="4"/>
        <v>6469.099999999999</v>
      </c>
      <c r="J28" s="19">
        <f t="shared" si="2"/>
        <v>1.0967809730210971</v>
      </c>
    </row>
    <row r="29" spans="1:10" ht="12.75">
      <c r="A29" s="1" t="s">
        <v>30</v>
      </c>
      <c r="B29" s="3">
        <f>2881835.9+82.23+6020.87+396.67+3900.96-5761.87</f>
        <v>2886474.76</v>
      </c>
      <c r="C29" s="3">
        <v>60174.2</v>
      </c>
      <c r="D29" s="19">
        <f t="shared" si="0"/>
        <v>2.08469517329159</v>
      </c>
      <c r="E29" s="3">
        <f>614534.74+57.49+729.93+577275.74+141033.85+114.46+24256.74+265.9+35.59-36.69-8.13-265.9</f>
        <v>1357993.7200000002</v>
      </c>
      <c r="F29" s="3">
        <f>5581.11+570.86+1357.02+5.55</f>
        <v>7514.54</v>
      </c>
      <c r="G29" s="19">
        <f t="shared" si="1"/>
        <v>0.5533560199380008</v>
      </c>
      <c r="H29" s="5">
        <f t="shared" si="3"/>
        <v>4244468.48</v>
      </c>
      <c r="I29" s="5">
        <f t="shared" si="4"/>
        <v>67688.73999999999</v>
      </c>
      <c r="J29" s="19">
        <f t="shared" si="2"/>
        <v>1.5947518592481096</v>
      </c>
    </row>
    <row r="30" spans="1:10" ht="12.75">
      <c r="A30" s="1" t="s">
        <v>31</v>
      </c>
      <c r="B30" s="3">
        <f>2511141.11+265.59+598.14-5155.98</f>
        <v>2506848.86</v>
      </c>
      <c r="C30" s="3">
        <v>51937.96</v>
      </c>
      <c r="D30" s="19">
        <f t="shared" si="0"/>
        <v>2.0718424963202606</v>
      </c>
      <c r="E30" s="3">
        <f>289156.92+46895.99+410577.15+96197.39+1563.73+3.53-237.09-224.12-1563.2</f>
        <v>842370.3000000002</v>
      </c>
      <c r="F30" s="3">
        <f>3796.3+270.34+564.58</f>
        <v>4631.22</v>
      </c>
      <c r="G30" s="19">
        <f t="shared" si="1"/>
        <v>0.549784340687225</v>
      </c>
      <c r="H30" s="5">
        <f t="shared" si="3"/>
        <v>3349219.16</v>
      </c>
      <c r="I30" s="5">
        <f t="shared" si="4"/>
        <v>56569.18</v>
      </c>
      <c r="J30" s="19">
        <f t="shared" si="2"/>
        <v>1.6890259280613933</v>
      </c>
    </row>
    <row r="31" spans="1:10" ht="12.75">
      <c r="A31" s="1" t="s">
        <v>32</v>
      </c>
      <c r="B31" s="3">
        <f>391262.44+81604.18+493.68-3260.8</f>
        <v>470099.5</v>
      </c>
      <c r="C31" s="3">
        <f>37592.19+7.44+53.56</f>
        <v>37653.19</v>
      </c>
      <c r="D31" s="19">
        <f t="shared" si="0"/>
        <v>8.009621367391372</v>
      </c>
      <c r="E31" s="3">
        <f>77912.25+488.76+722.29+7963.25+7.5+2.82-488.76-7.5</f>
        <v>86600.61</v>
      </c>
      <c r="F31" s="3">
        <f>2450.36+103.28</f>
        <v>2553.6400000000003</v>
      </c>
      <c r="G31" s="19">
        <f t="shared" si="1"/>
        <v>2.9487552108466675</v>
      </c>
      <c r="H31" s="5">
        <f t="shared" si="3"/>
        <v>556700.11</v>
      </c>
      <c r="I31" s="5">
        <f t="shared" si="4"/>
        <v>40206.83</v>
      </c>
      <c r="J31" s="19">
        <f t="shared" si="2"/>
        <v>7.2223499291207265</v>
      </c>
    </row>
    <row r="32" spans="1:10" ht="12.75">
      <c r="A32" s="1" t="s">
        <v>33</v>
      </c>
      <c r="B32" s="3">
        <f>434288.36+41.11+9683.29+56.12-1788.33</f>
        <v>442280.54999999993</v>
      </c>
      <c r="C32" s="3">
        <v>28197.92</v>
      </c>
      <c r="D32" s="19">
        <f t="shared" si="0"/>
        <v>6.375573151475914</v>
      </c>
      <c r="E32" s="3">
        <f>48040.97+23660.97+5774.48+905.11-2.25</f>
        <v>78379.28</v>
      </c>
      <c r="F32" s="3">
        <f>1573.99+21.43+1.67+19.4</f>
        <v>1616.4900000000002</v>
      </c>
      <c r="G32" s="19">
        <f t="shared" si="1"/>
        <v>2.062394551213025</v>
      </c>
      <c r="H32" s="5">
        <f t="shared" si="3"/>
        <v>520659.82999999996</v>
      </c>
      <c r="I32" s="5">
        <f t="shared" si="4"/>
        <v>29814.41</v>
      </c>
      <c r="J32" s="19">
        <f t="shared" si="2"/>
        <v>5.726274293140687</v>
      </c>
    </row>
    <row r="33" spans="1:10" ht="12.75">
      <c r="A33" s="1" t="s">
        <v>34</v>
      </c>
      <c r="B33" s="3">
        <f>342865.34+21.47+584.9+249+180-1323.35</f>
        <v>342577.36000000004</v>
      </c>
      <c r="C33" s="3">
        <v>7301.55</v>
      </c>
      <c r="D33" s="19">
        <f t="shared" si="0"/>
        <v>2.131358009180758</v>
      </c>
      <c r="E33" s="3">
        <f>36523.08+10919.25+6222+1.67-180</f>
        <v>53486</v>
      </c>
      <c r="F33" s="3">
        <f>1715.42+70.89+10.5</f>
        <v>1796.8100000000002</v>
      </c>
      <c r="G33" s="19">
        <f t="shared" si="1"/>
        <v>3.359402460456942</v>
      </c>
      <c r="H33" s="5">
        <f t="shared" si="3"/>
        <v>396063.36000000004</v>
      </c>
      <c r="I33" s="5">
        <f t="shared" si="4"/>
        <v>9098.36</v>
      </c>
      <c r="J33" s="19">
        <f t="shared" si="2"/>
        <v>2.2971981048688774</v>
      </c>
    </row>
    <row r="34" spans="1:10" ht="12.75">
      <c r="A34" s="1" t="s">
        <v>35</v>
      </c>
      <c r="B34" s="3">
        <f>297685.06+36.6+11162.5-1150.83</f>
        <v>307733.32999999996</v>
      </c>
      <c r="C34" s="3">
        <v>9821.35</v>
      </c>
      <c r="D34" s="19">
        <f t="shared" si="0"/>
        <v>3.1915132494747978</v>
      </c>
      <c r="E34" s="3">
        <f>37991.95+986.85+3440.45+291.27+2.62-118.58-23.99-0.22</f>
        <v>42570.34999999999</v>
      </c>
      <c r="F34" s="3">
        <f>772.72+3.69</f>
        <v>776.4100000000001</v>
      </c>
      <c r="G34" s="19">
        <f t="shared" si="1"/>
        <v>1.8238280869196524</v>
      </c>
      <c r="H34" s="5">
        <f t="shared" si="3"/>
        <v>350303.67999999993</v>
      </c>
      <c r="I34" s="5">
        <f t="shared" si="4"/>
        <v>10597.76</v>
      </c>
      <c r="J34" s="19">
        <f t="shared" si="2"/>
        <v>3.025306499777565</v>
      </c>
    </row>
    <row r="35" spans="1:10" ht="12.75">
      <c r="A35" s="1" t="s">
        <v>36</v>
      </c>
      <c r="B35" s="3">
        <f>5478413.46+2065.52+15517.81-31859.23</f>
        <v>5464137.559999999</v>
      </c>
      <c r="C35" s="3">
        <v>68928.28</v>
      </c>
      <c r="D35" s="19">
        <f t="shared" si="0"/>
        <v>1.2614667775677304</v>
      </c>
      <c r="E35" s="3">
        <f>1110196.71+58.15+562347.58+210446.52+117.16+16515.19+357.05-3803.76</f>
        <v>1896234.5999999999</v>
      </c>
      <c r="F35" s="3">
        <f>19612.54+420.83+1358.47</f>
        <v>21391.840000000004</v>
      </c>
      <c r="G35" s="19">
        <f t="shared" si="1"/>
        <v>1.128122016126064</v>
      </c>
      <c r="H35" s="5">
        <f t="shared" si="3"/>
        <v>7360372.159999998</v>
      </c>
      <c r="I35" s="5">
        <f t="shared" si="4"/>
        <v>90320.12</v>
      </c>
      <c r="J35" s="19">
        <f t="shared" si="2"/>
        <v>1.227113494217662</v>
      </c>
    </row>
    <row r="36" spans="1:10" ht="12.75">
      <c r="A36" s="1" t="s">
        <v>37</v>
      </c>
      <c r="B36" s="3">
        <f>546919.55+365.88+4191.01+253.02-2279.75</f>
        <v>549449.7100000001</v>
      </c>
      <c r="C36" s="3">
        <v>13993.91</v>
      </c>
      <c r="D36" s="19">
        <f t="shared" si="0"/>
        <v>2.5468955111469618</v>
      </c>
      <c r="E36" s="3">
        <f>23252.67+3192.47+1680.81+6.32+0.36-609.66</f>
        <v>27522.97</v>
      </c>
      <c r="F36" s="3">
        <f>60.53+5.84</f>
        <v>66.37</v>
      </c>
      <c r="G36" s="19">
        <f t="shared" si="1"/>
        <v>0.24114403351091834</v>
      </c>
      <c r="H36" s="5">
        <f t="shared" si="3"/>
        <v>576972.68</v>
      </c>
      <c r="I36" s="5">
        <f t="shared" si="4"/>
        <v>14060.28</v>
      </c>
      <c r="J36" s="19">
        <f t="shared" si="2"/>
        <v>2.4369056780990044</v>
      </c>
    </row>
    <row r="37" spans="1:10" ht="12.75">
      <c r="A37" s="1" t="s">
        <v>38</v>
      </c>
      <c r="B37" s="3">
        <f>146819.31+287.37+4132.21+1445.18-1222.03-183.09</f>
        <v>151278.94999999998</v>
      </c>
      <c r="C37" s="3">
        <v>8466.12</v>
      </c>
      <c r="D37" s="19">
        <f t="shared" si="0"/>
        <v>5.596363539011873</v>
      </c>
      <c r="E37" s="3">
        <f>10390.62+490.03+702.7+10.09</f>
        <v>11593.440000000002</v>
      </c>
      <c r="F37" s="3">
        <v>699.18</v>
      </c>
      <c r="G37" s="19">
        <f t="shared" si="1"/>
        <v>6.030824328240796</v>
      </c>
      <c r="H37" s="5">
        <f t="shared" si="3"/>
        <v>162872.38999999998</v>
      </c>
      <c r="I37" s="5">
        <f t="shared" si="4"/>
        <v>9165.300000000001</v>
      </c>
      <c r="J37" s="19">
        <f t="shared" si="2"/>
        <v>5.627288946886579</v>
      </c>
    </row>
    <row r="38" spans="1:10" ht="12.75">
      <c r="A38" s="1" t="s">
        <v>39</v>
      </c>
      <c r="B38" s="3">
        <f>429731.88+50.63+9506.33+644.19-2621.19</f>
        <v>437311.84</v>
      </c>
      <c r="C38" s="3">
        <v>23870.79</v>
      </c>
      <c r="D38" s="19">
        <f t="shared" si="0"/>
        <v>5.4585281752261725</v>
      </c>
      <c r="E38" s="3">
        <f>27376.39+2050.7+5582.5+7.7+0.18-45.63-0.01</f>
        <v>34971.829999999994</v>
      </c>
      <c r="F38" s="3">
        <f>202.93+17.71</f>
        <v>220.64000000000001</v>
      </c>
      <c r="G38" s="19">
        <f t="shared" si="1"/>
        <v>0.6309077906417824</v>
      </c>
      <c r="H38" s="5">
        <f t="shared" si="3"/>
        <v>472283.67000000004</v>
      </c>
      <c r="I38" s="5">
        <f t="shared" si="4"/>
        <v>24091.43</v>
      </c>
      <c r="J38" s="19">
        <f t="shared" si="2"/>
        <v>5.101050815498236</v>
      </c>
    </row>
    <row r="39" spans="1:10" ht="12.75">
      <c r="A39" s="1" t="s">
        <v>40</v>
      </c>
      <c r="B39" s="3">
        <f>26996987.25+714.07+2733.76+19426.92-18541.62</f>
        <v>27001320.380000003</v>
      </c>
      <c r="C39" s="3">
        <f>533926.9+3287.09</f>
        <v>537213.99</v>
      </c>
      <c r="D39" s="19">
        <f t="shared" si="0"/>
        <v>1.9895841478845484</v>
      </c>
      <c r="E39" s="3">
        <f>4256610.66+5082.35+995.63+582833.75+898.5+506780.98+2548.25+2368.54+9335.97+8460.52+27.67-26804.27-507.73-1003.02-630</f>
        <v>5346997.799999999</v>
      </c>
      <c r="F39" s="3">
        <f>60718.69+2843.72+3682.29+36+6.76</f>
        <v>67287.45999999999</v>
      </c>
      <c r="G39" s="19">
        <f t="shared" si="1"/>
        <v>1.2584157038553485</v>
      </c>
      <c r="H39" s="5">
        <f t="shared" si="3"/>
        <v>32348318.18</v>
      </c>
      <c r="I39" s="5">
        <f t="shared" si="4"/>
        <v>604501.45</v>
      </c>
      <c r="J39" s="19">
        <f t="shared" si="2"/>
        <v>1.8687260544313096</v>
      </c>
    </row>
    <row r="40" spans="1:10" ht="12.75">
      <c r="A40" s="1" t="s">
        <v>41</v>
      </c>
      <c r="B40" s="14">
        <f>545828.48+137.2-3081.11</f>
        <v>542884.57</v>
      </c>
      <c r="C40" s="14">
        <v>12050.01</v>
      </c>
      <c r="D40" s="18">
        <f t="shared" si="0"/>
        <v>2.219626540500129</v>
      </c>
      <c r="E40" s="14">
        <f>66941.84+8228+14228.49+62.81+4.56</f>
        <v>89465.7</v>
      </c>
      <c r="F40" s="14">
        <f>836.83+252.1</f>
        <v>1088.93</v>
      </c>
      <c r="G40" s="18">
        <f t="shared" si="1"/>
        <v>1.2171480243266415</v>
      </c>
      <c r="H40" s="15">
        <f t="shared" si="3"/>
        <v>632350.2699999999</v>
      </c>
      <c r="I40" s="15">
        <f t="shared" si="4"/>
        <v>13138.94</v>
      </c>
      <c r="J40" s="18">
        <f t="shared" si="2"/>
        <v>2.0777946374562317</v>
      </c>
    </row>
    <row r="41" spans="1:10" ht="12.75">
      <c r="A41" s="1" t="s">
        <v>42</v>
      </c>
      <c r="B41" s="3">
        <f>1099264.75+389353.98+43.92-11814.8</f>
        <v>1476847.8499999999</v>
      </c>
      <c r="C41" s="3">
        <v>122659.22</v>
      </c>
      <c r="D41" s="19">
        <f t="shared" si="0"/>
        <v>8.305474392639702</v>
      </c>
      <c r="E41" s="3">
        <f>700983.59+12.58+10667.53+46217.59-27.78</f>
        <v>757853.5099999999</v>
      </c>
      <c r="F41" s="3">
        <f>13960.35+1360.14</f>
        <v>15320.49</v>
      </c>
      <c r="G41" s="19">
        <f t="shared" si="1"/>
        <v>2.0215635077021683</v>
      </c>
      <c r="H41" s="5">
        <f t="shared" si="3"/>
        <v>2234701.36</v>
      </c>
      <c r="I41" s="5">
        <f t="shared" si="4"/>
        <v>137979.71</v>
      </c>
      <c r="J41" s="19">
        <f t="shared" si="2"/>
        <v>6.174413837560827</v>
      </c>
    </row>
    <row r="42" spans="1:10" ht="12.75">
      <c r="A42" s="1" t="s">
        <v>43</v>
      </c>
      <c r="B42" s="14">
        <f>3384162.44+164.46+606.08+1757.12-5065.49</f>
        <v>3381624.61</v>
      </c>
      <c r="C42" s="14">
        <f>92916.94+737.27</f>
        <v>93654.21</v>
      </c>
      <c r="D42" s="18">
        <f t="shared" si="0"/>
        <v>2.769503442902848</v>
      </c>
      <c r="E42" s="14">
        <f>536252.5+58.95+307690.94+60557.55+2307.52+128.23+226.29+98.19-2053.63-2140.72-7.5</f>
        <v>903118.32</v>
      </c>
      <c r="F42" s="14">
        <f>8145.53+291.73+44.34</f>
        <v>8481.6</v>
      </c>
      <c r="G42" s="18">
        <f t="shared" si="1"/>
        <v>0.9391460467771267</v>
      </c>
      <c r="H42" s="15">
        <f t="shared" si="3"/>
        <v>4284742.93</v>
      </c>
      <c r="I42" s="15">
        <f t="shared" si="4"/>
        <v>102135.81000000001</v>
      </c>
      <c r="J42" s="18">
        <f t="shared" si="2"/>
        <v>2.383709166888106</v>
      </c>
    </row>
    <row r="43" spans="1:10" ht="12.75">
      <c r="A43" s="1" t="s">
        <v>44</v>
      </c>
      <c r="B43" s="3">
        <f>233094.3+121.88-1721.71</f>
        <v>231494.47</v>
      </c>
      <c r="C43" s="3">
        <v>10399.23</v>
      </c>
      <c r="D43" s="19">
        <f t="shared" si="0"/>
        <v>4.492215300002631</v>
      </c>
      <c r="E43" s="3">
        <f>70821.77+57490.43+43074.96+822.05-15.95</f>
        <v>172193.25999999998</v>
      </c>
      <c r="F43" s="3">
        <f>1552.51+939.78</f>
        <v>2492.29</v>
      </c>
      <c r="G43" s="19">
        <f t="shared" si="1"/>
        <v>1.4473795315798077</v>
      </c>
      <c r="H43" s="5">
        <f t="shared" si="3"/>
        <v>403687.73</v>
      </c>
      <c r="I43" s="5">
        <f t="shared" si="4"/>
        <v>12891.52</v>
      </c>
      <c r="J43" s="19">
        <f t="shared" si="2"/>
        <v>3.1934386512069617</v>
      </c>
    </row>
    <row r="44" spans="1:10" ht="12.75">
      <c r="A44" s="1" t="s">
        <v>45</v>
      </c>
      <c r="B44" s="16">
        <f>483010.15+4028.47+977.22-3315.21</f>
        <v>484700.62999999995</v>
      </c>
      <c r="C44" s="14">
        <f>14690.59+1012.5</f>
        <v>15703.09</v>
      </c>
      <c r="D44" s="18">
        <f t="shared" si="0"/>
        <v>3.2397502763716237</v>
      </c>
      <c r="E44" s="14">
        <f>75299.08+24791.11+375676.72+67471.17+3668.73+11561.84+1.36-28.87-68.84</f>
        <v>558372.2999999999</v>
      </c>
      <c r="F44" s="14">
        <v>242.19</v>
      </c>
      <c r="G44" s="18">
        <f t="shared" si="1"/>
        <v>0.043374286296078805</v>
      </c>
      <c r="H44" s="15">
        <f t="shared" si="3"/>
        <v>1043072.9299999999</v>
      </c>
      <c r="I44" s="15">
        <f t="shared" si="4"/>
        <v>15945.28</v>
      </c>
      <c r="J44" s="18">
        <f t="shared" si="2"/>
        <v>1.528683138196291</v>
      </c>
    </row>
    <row r="45" spans="1:10" ht="12.75">
      <c r="A45" s="1" t="s">
        <v>46</v>
      </c>
      <c r="B45" s="14">
        <f>810607.05+324.15+590.12+395.04-3567.16</f>
        <v>808349.2000000001</v>
      </c>
      <c r="C45" s="14">
        <v>23445.4</v>
      </c>
      <c r="D45" s="18">
        <f t="shared" si="0"/>
        <v>2.9004049240105636</v>
      </c>
      <c r="E45" s="14">
        <f>49084.44+150.24+9024.56+3556.19+5.45+78.16+0.15+1.31-7.48-19.11</f>
        <v>61873.909999999996</v>
      </c>
      <c r="F45" s="14">
        <f>722.06+39.18</f>
        <v>761.2399999999999</v>
      </c>
      <c r="G45" s="18">
        <f t="shared" si="1"/>
        <v>1.2303085420009823</v>
      </c>
      <c r="H45" s="15">
        <f t="shared" si="3"/>
        <v>870223.1100000001</v>
      </c>
      <c r="I45" s="15">
        <f t="shared" si="4"/>
        <v>24206.640000000003</v>
      </c>
      <c r="J45" s="18">
        <f t="shared" si="2"/>
        <v>2.781659062122586</v>
      </c>
    </row>
    <row r="46" spans="1:10" ht="12.75">
      <c r="A46" s="1" t="s">
        <v>47</v>
      </c>
      <c r="B46" s="3">
        <f>1199634.07+599.65+90-1255.82</f>
        <v>1199067.9</v>
      </c>
      <c r="C46" s="3">
        <v>24823.25</v>
      </c>
      <c r="D46" s="19">
        <f t="shared" si="0"/>
        <v>2.0702122039961206</v>
      </c>
      <c r="E46" s="3">
        <f>142949.2+49173.59+407.54+29426.18-1403.1</f>
        <v>220553.41</v>
      </c>
      <c r="F46" s="3">
        <f>1667.66+23.75</f>
        <v>1691.41</v>
      </c>
      <c r="G46" s="19">
        <f t="shared" si="1"/>
        <v>0.7668936064058135</v>
      </c>
      <c r="H46" s="5">
        <f t="shared" si="3"/>
        <v>1419621.3099999998</v>
      </c>
      <c r="I46" s="5">
        <f t="shared" si="4"/>
        <v>26514.66</v>
      </c>
      <c r="J46" s="19">
        <f t="shared" si="2"/>
        <v>1.8677276688668476</v>
      </c>
    </row>
    <row r="47" spans="1:10" ht="12.75">
      <c r="A47" s="1" t="s">
        <v>48</v>
      </c>
      <c r="B47" s="3">
        <f>1488649.89+788.2+1142.79-6783.52</f>
        <v>1483797.3599999999</v>
      </c>
      <c r="C47" s="3">
        <f>28543.35+166.01</f>
        <v>28709.359999999997</v>
      </c>
      <c r="D47" s="19">
        <f t="shared" si="0"/>
        <v>1.934857196403153</v>
      </c>
      <c r="E47" s="3">
        <f>225051.33+169.03+32470.56+58988.83+630.38+12.89-736.78-38.22</f>
        <v>316548.02</v>
      </c>
      <c r="F47" s="3">
        <f>8091.23+33.53+2098.52</f>
        <v>10223.279999999999</v>
      </c>
      <c r="G47" s="19">
        <f t="shared" si="1"/>
        <v>3.229614262000438</v>
      </c>
      <c r="H47" s="5">
        <f t="shared" si="3"/>
        <v>1800345.38</v>
      </c>
      <c r="I47" s="5">
        <f t="shared" si="4"/>
        <v>38932.64</v>
      </c>
      <c r="J47" s="19">
        <f t="shared" si="2"/>
        <v>2.162509506925832</v>
      </c>
    </row>
    <row r="48" spans="1:10" ht="12.75">
      <c r="A48" s="1" t="s">
        <v>49</v>
      </c>
      <c r="B48" s="3">
        <f>1115739.93+3192.04+421+2175-3772.64</f>
        <v>1117755.33</v>
      </c>
      <c r="C48" s="3">
        <v>27294.24</v>
      </c>
      <c r="D48" s="19">
        <f t="shared" si="0"/>
        <v>2.441879655362502</v>
      </c>
      <c r="E48" s="3">
        <f>154059.41+1.57+106933.21+49390.18+35.46+103.94+0.09-65.54-4.35</f>
        <v>310453.9700000001</v>
      </c>
      <c r="F48" s="3">
        <f>1536.04+116.15+12.75</f>
        <v>1664.94</v>
      </c>
      <c r="G48" s="19">
        <f t="shared" si="1"/>
        <v>0.5362920628781135</v>
      </c>
      <c r="H48" s="5">
        <f t="shared" si="3"/>
        <v>1428209.3000000003</v>
      </c>
      <c r="I48" s="5">
        <f t="shared" si="4"/>
        <v>28959.18</v>
      </c>
      <c r="J48" s="19">
        <f t="shared" si="2"/>
        <v>2.027656590669168</v>
      </c>
    </row>
    <row r="49" spans="1:10" ht="12.75">
      <c r="A49" s="1" t="s">
        <v>50</v>
      </c>
      <c r="B49" s="3">
        <f>367904.05+10.92+9618.96-2832.93</f>
        <v>374701</v>
      </c>
      <c r="C49" s="3">
        <f>4841.54+7664.4</f>
        <v>12505.939999999999</v>
      </c>
      <c r="D49" s="19">
        <f t="shared" si="0"/>
        <v>3.337578495920747</v>
      </c>
      <c r="E49" s="3">
        <f>27174.56+22.5+5170.08+220.87+3056.2+20.16+14.55</f>
        <v>35678.920000000006</v>
      </c>
      <c r="F49" s="3">
        <f>1722.27+45</f>
        <v>1767.27</v>
      </c>
      <c r="G49" s="19">
        <f t="shared" si="1"/>
        <v>4.953260917090539</v>
      </c>
      <c r="H49" s="5">
        <f t="shared" si="3"/>
        <v>410379.92</v>
      </c>
      <c r="I49" s="5">
        <f t="shared" si="4"/>
        <v>14273.21</v>
      </c>
      <c r="J49" s="19">
        <f t="shared" si="2"/>
        <v>3.478047853803373</v>
      </c>
    </row>
    <row r="50" spans="1:10" ht="12.75">
      <c r="A50" s="1" t="s">
        <v>51</v>
      </c>
      <c r="B50" s="14">
        <f>1508211.02+1056.42+6409.04+2332.23-22189.96-14.25</f>
        <v>1495804.5</v>
      </c>
      <c r="C50" s="14">
        <f>67674.41+302.01+1.8</f>
        <v>67978.22</v>
      </c>
      <c r="D50" s="18">
        <f t="shared" si="0"/>
        <v>4.5445925587200735</v>
      </c>
      <c r="E50" s="14">
        <f>199793.61+2634.7+146398.46+8902.75+74525.99+4657.48+172.19+3.18-2769.38-8902.75-4657.48</f>
        <v>420758.75</v>
      </c>
      <c r="F50" s="14">
        <f>16216.46+197.18</f>
        <v>16413.64</v>
      </c>
      <c r="G50" s="18">
        <f>F50/E50*100</f>
        <v>3.900962249745252</v>
      </c>
      <c r="H50" s="15">
        <f t="shared" si="3"/>
        <v>1916563.25</v>
      </c>
      <c r="I50" s="15">
        <f t="shared" si="4"/>
        <v>84391.86</v>
      </c>
      <c r="J50" s="18">
        <f t="shared" si="2"/>
        <v>4.403291151492131</v>
      </c>
    </row>
    <row r="51" spans="1:10" ht="12.75">
      <c r="A51" s="1" t="s">
        <v>52</v>
      </c>
      <c r="B51" s="14">
        <f>413398.95+1718.06+191.78+41400-1943.95</f>
        <v>454764.84</v>
      </c>
      <c r="C51" s="14">
        <f>119.57+6465.63</f>
        <v>6585.2</v>
      </c>
      <c r="D51" s="18">
        <f t="shared" si="0"/>
        <v>1.4480451039266797</v>
      </c>
      <c r="E51" s="14">
        <f>269706.63+738292.08+79913.54+202.44+67.13+9.15-202.44</f>
        <v>1087988.5299999998</v>
      </c>
      <c r="F51" s="14">
        <f>491.4+3.88</f>
        <v>495.28</v>
      </c>
      <c r="G51" s="18">
        <f aca="true" t="shared" si="5" ref="G51:G114">F51/E51*100</f>
        <v>0.0455225387348523</v>
      </c>
      <c r="H51" s="15">
        <f t="shared" si="3"/>
        <v>1542753.3699999999</v>
      </c>
      <c r="I51" s="15">
        <f t="shared" si="4"/>
        <v>7080.48</v>
      </c>
      <c r="J51" s="18">
        <f t="shared" si="2"/>
        <v>0.45895086912044797</v>
      </c>
    </row>
    <row r="52" spans="1:10" ht="12.75">
      <c r="A52" s="1" t="s">
        <v>53</v>
      </c>
      <c r="B52" s="3">
        <f>6113121.86+7731.44+1248.56+900-25446.85</f>
        <v>6097555.010000001</v>
      </c>
      <c r="C52" s="3">
        <v>131560.63</v>
      </c>
      <c r="D52" s="19">
        <f t="shared" si="0"/>
        <v>2.1575964429060557</v>
      </c>
      <c r="E52" s="3">
        <f>876094.46+4115.86+712999.47+162018.4+5430.43+2972.16+89.3-7063.89-1749.14-9083.43</f>
        <v>1745823.62</v>
      </c>
      <c r="F52" s="3">
        <f>14589.35+272.16+599.87+1.2</f>
        <v>15462.580000000002</v>
      </c>
      <c r="G52" s="19">
        <f t="shared" si="5"/>
        <v>0.8856897010019833</v>
      </c>
      <c r="H52" s="5">
        <f t="shared" si="3"/>
        <v>7843378.630000001</v>
      </c>
      <c r="I52" s="5">
        <f t="shared" si="4"/>
        <v>147023.21000000002</v>
      </c>
      <c r="J52" s="19">
        <f t="shared" si="2"/>
        <v>1.8744882395152203</v>
      </c>
    </row>
    <row r="53" spans="1:10" ht="12.75">
      <c r="A53" s="1" t="s">
        <v>54</v>
      </c>
      <c r="B53" s="3">
        <f>674230.45+107953.36+3161.8-4868.48</f>
        <v>780477.13</v>
      </c>
      <c r="C53" s="3">
        <v>56590.05</v>
      </c>
      <c r="D53" s="19">
        <f t="shared" si="0"/>
        <v>7.25069932542418</v>
      </c>
      <c r="E53" s="3">
        <f>887915.67+47134.79+18940.17+38.86+0.03-1335.96</f>
        <v>952693.5600000002</v>
      </c>
      <c r="F53" s="3">
        <f>6474.58+30.56+225.86</f>
        <v>6731</v>
      </c>
      <c r="G53" s="19">
        <f t="shared" si="5"/>
        <v>0.7065230922732383</v>
      </c>
      <c r="H53" s="5">
        <f t="shared" si="3"/>
        <v>1733170.6900000002</v>
      </c>
      <c r="I53" s="5">
        <f t="shared" si="4"/>
        <v>63321.05</v>
      </c>
      <c r="J53" s="19">
        <f t="shared" si="2"/>
        <v>3.6534803158943334</v>
      </c>
    </row>
    <row r="54" spans="1:10" ht="12.75">
      <c r="A54" s="1" t="s">
        <v>55</v>
      </c>
      <c r="B54" s="14">
        <f>941643.71+366.73+330.73-3516.57</f>
        <v>938824.6</v>
      </c>
      <c r="C54" s="14">
        <v>16913.52</v>
      </c>
      <c r="D54" s="18">
        <f t="shared" si="0"/>
        <v>1.8015633591194777</v>
      </c>
      <c r="E54" s="14">
        <f>121122.09+15.98+131636.46+15436.28+1491.4+0.35-1471</f>
        <v>268231.56</v>
      </c>
      <c r="F54" s="14">
        <f>1064.87+29.06+29.73</f>
        <v>1123.6599999999999</v>
      </c>
      <c r="G54" s="18">
        <f t="shared" si="5"/>
        <v>0.4189141650594732</v>
      </c>
      <c r="H54" s="15">
        <f t="shared" si="3"/>
        <v>1207056.16</v>
      </c>
      <c r="I54" s="15">
        <f t="shared" si="4"/>
        <v>18037.18</v>
      </c>
      <c r="J54" s="18">
        <f t="shared" si="2"/>
        <v>1.49431158198969</v>
      </c>
    </row>
    <row r="55" spans="1:10" ht="12.75">
      <c r="A55" s="1" t="s">
        <v>56</v>
      </c>
      <c r="B55" s="3">
        <f>710938.29+294.39+4344.39-2395.41</f>
        <v>713181.66</v>
      </c>
      <c r="C55" s="3">
        <f>17285.44+2706.79</f>
        <v>19992.23</v>
      </c>
      <c r="D55" s="19">
        <f t="shared" si="0"/>
        <v>2.8032451086866144</v>
      </c>
      <c r="E55" s="3">
        <f>70919.01+105.32+270422.61+35166.76+373.99+0.54</f>
        <v>376988.23</v>
      </c>
      <c r="F55" s="3">
        <f>469.49+31.89</f>
        <v>501.38</v>
      </c>
      <c r="G55" s="19">
        <f t="shared" si="5"/>
        <v>0.1329961946026803</v>
      </c>
      <c r="H55" s="5">
        <f t="shared" si="3"/>
        <v>1090169.8900000001</v>
      </c>
      <c r="I55" s="5">
        <f t="shared" si="4"/>
        <v>20493.61</v>
      </c>
      <c r="J55" s="19">
        <f t="shared" si="2"/>
        <v>1.879854707783206</v>
      </c>
    </row>
    <row r="56" spans="1:10" ht="12.75">
      <c r="A56" s="1" t="s">
        <v>57</v>
      </c>
      <c r="B56" s="3">
        <f>2358292.07+123.34+101.5+15872.83-4889.94</f>
        <v>2369499.8</v>
      </c>
      <c r="C56" s="3">
        <v>41396.57</v>
      </c>
      <c r="D56" s="19">
        <f t="shared" si="0"/>
        <v>1.747059442672247</v>
      </c>
      <c r="E56" s="3">
        <f>717542.16+859.43+483574.77+138016.58+9417.11+30.08-504.99-932.87</f>
        <v>1348002.2700000003</v>
      </c>
      <c r="F56" s="3">
        <f>5129.96+143.45+316.13</f>
        <v>5589.54</v>
      </c>
      <c r="G56" s="19">
        <f t="shared" si="5"/>
        <v>0.4146536044037967</v>
      </c>
      <c r="H56" s="5">
        <f t="shared" si="3"/>
        <v>3717502.0700000003</v>
      </c>
      <c r="I56" s="5">
        <f t="shared" si="4"/>
        <v>46986.11</v>
      </c>
      <c r="J56" s="19">
        <f t="shared" si="2"/>
        <v>1.263916175842237</v>
      </c>
    </row>
    <row r="57" spans="1:10" ht="12.75">
      <c r="A57" s="1" t="s">
        <v>58</v>
      </c>
      <c r="B57" s="14">
        <f>813876.08+75.64+543.2+106.29-2553.34</f>
        <v>812047.87</v>
      </c>
      <c r="C57" s="14">
        <v>21485.05</v>
      </c>
      <c r="D57" s="18">
        <f t="shared" si="0"/>
        <v>2.64578614066188</v>
      </c>
      <c r="E57" s="14">
        <f>75850.94+47.24+58857.68+23078.71+4.21+148.61+14.4+11.28-522.35</f>
        <v>157490.71999999997</v>
      </c>
      <c r="F57" s="14">
        <f>6528.41+4935.33+832.45</f>
        <v>12296.19</v>
      </c>
      <c r="G57" s="18">
        <f t="shared" si="5"/>
        <v>7.807564788579291</v>
      </c>
      <c r="H57" s="15">
        <f t="shared" si="3"/>
        <v>969538.59</v>
      </c>
      <c r="I57" s="15">
        <f t="shared" si="4"/>
        <v>33781.24</v>
      </c>
      <c r="J57" s="18">
        <f t="shared" si="2"/>
        <v>3.4842594558304274</v>
      </c>
    </row>
    <row r="58" spans="1:10" ht="12.75">
      <c r="A58" s="1" t="s">
        <v>59</v>
      </c>
      <c r="B58" s="3">
        <f>183560.89+125.29+92.56+24.4-646.37</f>
        <v>183156.77000000002</v>
      </c>
      <c r="C58" s="3">
        <v>2586.09</v>
      </c>
      <c r="D58" s="19">
        <f t="shared" si="0"/>
        <v>1.4119543601909992</v>
      </c>
      <c r="E58" s="7">
        <f>32488.57+55.62+777.03+2677.15+313.38+13.52</f>
        <v>36325.27</v>
      </c>
      <c r="F58" s="3">
        <v>242.56</v>
      </c>
      <c r="G58" s="19">
        <f t="shared" si="5"/>
        <v>0.6677445205500194</v>
      </c>
      <c r="H58" s="5">
        <f t="shared" si="3"/>
        <v>219482.04</v>
      </c>
      <c r="I58" s="5">
        <f t="shared" si="4"/>
        <v>2828.65</v>
      </c>
      <c r="J58" s="19">
        <f t="shared" si="2"/>
        <v>1.288784266812902</v>
      </c>
    </row>
    <row r="59" spans="1:10" ht="12.75">
      <c r="A59" s="1" t="s">
        <v>60</v>
      </c>
      <c r="B59" s="3">
        <f>1932329.57+1038.34+18618.22+2429.07-6652.54</f>
        <v>1947762.6600000001</v>
      </c>
      <c r="C59" s="3">
        <v>50828.97</v>
      </c>
      <c r="D59" s="19">
        <f t="shared" si="0"/>
        <v>2.609607989918032</v>
      </c>
      <c r="E59" s="3">
        <f>894410.83+217993.57+817.5+76228.14+1444.78+2505.96+25.79-1073.53-485.1-60.28-820.63</f>
        <v>1190987.0299999998</v>
      </c>
      <c r="F59" s="3">
        <f>10381.46+1405.14</f>
        <v>11786.599999999999</v>
      </c>
      <c r="G59" s="19">
        <f t="shared" si="5"/>
        <v>0.9896497361520386</v>
      </c>
      <c r="H59" s="5">
        <f t="shared" si="3"/>
        <v>3138749.69</v>
      </c>
      <c r="I59" s="5">
        <f t="shared" si="4"/>
        <v>62615.57</v>
      </c>
      <c r="J59" s="19">
        <f t="shared" si="2"/>
        <v>1.9949207864358245</v>
      </c>
    </row>
    <row r="60" spans="1:10" ht="12.75">
      <c r="A60" s="1" t="s">
        <v>61</v>
      </c>
      <c r="B60" s="3">
        <f>289214.21+616.8-2276.12</f>
        <v>287554.89</v>
      </c>
      <c r="C60" s="3">
        <v>28101.95</v>
      </c>
      <c r="D60" s="19">
        <f t="shared" si="0"/>
        <v>9.772725478603407</v>
      </c>
      <c r="E60" s="3">
        <f>21350.82+5418.52+3827.79+0.44</f>
        <v>30597.57</v>
      </c>
      <c r="F60" s="3">
        <f>2003.07+49.68+262.39</f>
        <v>2315.14</v>
      </c>
      <c r="G60" s="19">
        <f t="shared" si="5"/>
        <v>7.566417856058504</v>
      </c>
      <c r="H60" s="5">
        <f t="shared" si="3"/>
        <v>318152.46</v>
      </c>
      <c r="I60" s="5">
        <f t="shared" si="4"/>
        <v>30417.09</v>
      </c>
      <c r="J60" s="19">
        <f t="shared" si="2"/>
        <v>9.560538994417959</v>
      </c>
    </row>
    <row r="61" spans="1:10" ht="12.75">
      <c r="A61" s="1" t="s">
        <v>62</v>
      </c>
      <c r="B61" s="3">
        <f>63054635.9+11512.85+453.95+22476.53-292901.08</f>
        <v>62796178.150000006</v>
      </c>
      <c r="C61" s="3">
        <f>1470112.9+4204.67</f>
        <v>1474317.5699999998</v>
      </c>
      <c r="D61" s="19">
        <f t="shared" si="0"/>
        <v>2.3477823228004837</v>
      </c>
      <c r="E61" s="3">
        <f>11143438.05+41393.48+2605272.88+213394.05+1580459.48+44351.44+28217.64+537.52+25061.96-74720.23-2855.3-21445.38-5.85</f>
        <v>15583099.74</v>
      </c>
      <c r="F61" s="3">
        <f>176407.7+8838.53+18827.52+57.75+0.26</f>
        <v>204131.76</v>
      </c>
      <c r="G61" s="19">
        <f>F61/E61*100</f>
        <v>1.3099560639788346</v>
      </c>
      <c r="H61" s="5">
        <f t="shared" si="3"/>
        <v>78379277.89</v>
      </c>
      <c r="I61" s="5">
        <f t="shared" si="4"/>
        <v>1678449.3299999998</v>
      </c>
      <c r="J61" s="19">
        <f t="shared" si="2"/>
        <v>2.1414452584720025</v>
      </c>
    </row>
    <row r="62" spans="1:10" ht="12.75">
      <c r="A62" s="1" t="s">
        <v>63</v>
      </c>
      <c r="B62" s="3">
        <f>4009666.98+0.85+465.74+625.19-2936.31</f>
        <v>4007822.45</v>
      </c>
      <c r="C62" s="3">
        <v>156236.3</v>
      </c>
      <c r="D62" s="19">
        <f t="shared" si="0"/>
        <v>3.8982839671453005</v>
      </c>
      <c r="E62" s="3">
        <f>396250.9+160.65+145581.59+71871.12+60.15+2030.51+23.23-292.21-60.15</f>
        <v>615625.79</v>
      </c>
      <c r="F62" s="3">
        <f>6247.39+274.8+328.13</f>
        <v>6850.320000000001</v>
      </c>
      <c r="G62" s="19">
        <f>F62/E62*100</f>
        <v>1.1127409071020238</v>
      </c>
      <c r="H62" s="5">
        <f t="shared" si="3"/>
        <v>4623448.24</v>
      </c>
      <c r="I62" s="5">
        <f t="shared" si="4"/>
        <v>163086.62</v>
      </c>
      <c r="J62" s="19">
        <f t="shared" si="2"/>
        <v>3.5273806807016395</v>
      </c>
    </row>
    <row r="63" spans="1:10" ht="12.75">
      <c r="A63" s="1" t="s">
        <v>64</v>
      </c>
      <c r="B63" s="3">
        <f>795468.62+35093.72+1564.43+109.9-5731.56</f>
        <v>826505.11</v>
      </c>
      <c r="C63" s="3">
        <v>45339.08</v>
      </c>
      <c r="D63" s="19">
        <f t="shared" si="0"/>
        <v>5.485638195267783</v>
      </c>
      <c r="E63" s="3">
        <f>284720.99+2480.73+16640.71+0.05-875.89-10.07</f>
        <v>302956.51999999996</v>
      </c>
      <c r="F63" s="3">
        <f>10540.4+380.11</f>
        <v>10920.51</v>
      </c>
      <c r="G63" s="19">
        <f t="shared" si="5"/>
        <v>3.6046459736202414</v>
      </c>
      <c r="H63" s="5">
        <f t="shared" si="3"/>
        <v>1129461.63</v>
      </c>
      <c r="I63" s="5">
        <f t="shared" si="4"/>
        <v>56259.590000000004</v>
      </c>
      <c r="J63" s="19">
        <f t="shared" si="2"/>
        <v>4.981097941326259</v>
      </c>
    </row>
    <row r="64" spans="1:10" ht="12.75">
      <c r="A64" s="1" t="s">
        <v>65</v>
      </c>
      <c r="B64" s="14">
        <f>11712402.64+119.56-10245.19</f>
        <v>11702277.010000002</v>
      </c>
      <c r="C64" s="14">
        <v>197669.57</v>
      </c>
      <c r="D64" s="18">
        <f t="shared" si="0"/>
        <v>1.6891547673250642</v>
      </c>
      <c r="E64" s="14">
        <f>1422372.16+143.54+421967.24+200297.7+65.28+0.18-72.15-2.61</f>
        <v>2044771.3399999999</v>
      </c>
      <c r="F64" s="14">
        <f>49312.49+1275.45+651.69+65.28</f>
        <v>51304.909999999996</v>
      </c>
      <c r="G64" s="18">
        <f t="shared" si="5"/>
        <v>2.5090781055254814</v>
      </c>
      <c r="H64" s="15">
        <f t="shared" si="3"/>
        <v>13747048.350000001</v>
      </c>
      <c r="I64" s="15">
        <f t="shared" si="4"/>
        <v>248974.48</v>
      </c>
      <c r="J64" s="18">
        <f t="shared" si="2"/>
        <v>1.8111122741486538</v>
      </c>
    </row>
    <row r="65" spans="1:10" ht="12.75">
      <c r="A65" s="1" t="s">
        <v>66</v>
      </c>
      <c r="B65" s="3">
        <f>336733.47+392736.32+230.34-3275.74</f>
        <v>726424.39</v>
      </c>
      <c r="C65" s="3">
        <v>19596.79</v>
      </c>
      <c r="D65" s="19">
        <f t="shared" si="0"/>
        <v>2.69770540055793</v>
      </c>
      <c r="E65" s="3">
        <f>700548.15+63830.53+5941.03+0.01-61.99</f>
        <v>770257.7300000001</v>
      </c>
      <c r="F65" s="3">
        <v>1273.21</v>
      </c>
      <c r="G65" s="19">
        <f t="shared" si="5"/>
        <v>0.16529662091154865</v>
      </c>
      <c r="H65" s="5">
        <f t="shared" si="3"/>
        <v>1496682.12</v>
      </c>
      <c r="I65" s="5">
        <f t="shared" si="4"/>
        <v>20870</v>
      </c>
      <c r="J65" s="19">
        <f t="shared" si="2"/>
        <v>1.3944176736740863</v>
      </c>
    </row>
    <row r="66" spans="1:10" ht="12.75">
      <c r="A66" s="1" t="s">
        <v>67</v>
      </c>
      <c r="B66" s="3">
        <f>977833.47+309.88+134378.23+1096.11-10124.32</f>
        <v>1103493.37</v>
      </c>
      <c r="C66" s="3">
        <v>95990.07</v>
      </c>
      <c r="D66" s="19">
        <f t="shared" si="0"/>
        <v>8.69874460595989</v>
      </c>
      <c r="E66" s="3">
        <f>229921.39+0.86+46031.56+28873.05-683.9-255.71</f>
        <v>303887.24999999994</v>
      </c>
      <c r="F66" s="3">
        <f>32955.55+14.78+1102.27</f>
        <v>34072.6</v>
      </c>
      <c r="G66" s="19">
        <f t="shared" si="5"/>
        <v>11.21225059623265</v>
      </c>
      <c r="H66" s="5">
        <f t="shared" si="3"/>
        <v>1407380.62</v>
      </c>
      <c r="I66" s="5">
        <f t="shared" si="4"/>
        <v>130062.67000000001</v>
      </c>
      <c r="J66" s="19">
        <f t="shared" si="2"/>
        <v>9.241470868058423</v>
      </c>
    </row>
    <row r="67" spans="1:10" ht="12.75">
      <c r="A67" s="1" t="s">
        <v>68</v>
      </c>
      <c r="B67" s="3">
        <f>613291.68+7.66-2573.56</f>
        <v>610725.78</v>
      </c>
      <c r="C67" s="3">
        <v>21863.68</v>
      </c>
      <c r="D67" s="19">
        <f t="shared" si="0"/>
        <v>3.579950399342893</v>
      </c>
      <c r="E67" s="3">
        <f>42340.07+21527.84+11490.76+2.84-718.84</f>
        <v>74642.67</v>
      </c>
      <c r="F67" s="3">
        <f>1502.33+36.87</f>
        <v>1539.1999999999998</v>
      </c>
      <c r="G67" s="19">
        <f t="shared" si="5"/>
        <v>2.062091294429848</v>
      </c>
      <c r="H67" s="5">
        <f t="shared" si="3"/>
        <v>685368.4500000001</v>
      </c>
      <c r="I67" s="5">
        <f t="shared" si="4"/>
        <v>23402.88</v>
      </c>
      <c r="J67" s="19">
        <f t="shared" si="2"/>
        <v>3.4146421534285682</v>
      </c>
    </row>
    <row r="68" spans="1:10" ht="12.75">
      <c r="A68" s="1" t="s">
        <v>69</v>
      </c>
      <c r="B68" s="3">
        <f>2631618.74+45.99+2066.27+627.04+2349.99-16925.87</f>
        <v>2619782.1600000006</v>
      </c>
      <c r="C68" s="3">
        <f>148442.29+31.44+457.62</f>
        <v>148931.35</v>
      </c>
      <c r="D68" s="19">
        <f>C68/B68*100</f>
        <v>5.684875340932926</v>
      </c>
      <c r="E68" s="3">
        <f>811415.86+254617.61+100812.39+100.88+1973.69+29.19-711.53-54.88</f>
        <v>1168183.2099999997</v>
      </c>
      <c r="F68" s="3">
        <f>41421.27+662.65+1353.6+32.55</f>
        <v>43470.07</v>
      </c>
      <c r="G68" s="19">
        <f t="shared" si="5"/>
        <v>3.721168873844712</v>
      </c>
      <c r="H68" s="5">
        <f t="shared" si="3"/>
        <v>3787965.37</v>
      </c>
      <c r="I68" s="5">
        <f t="shared" si="4"/>
        <v>192401.42</v>
      </c>
      <c r="J68" s="19">
        <f t="shared" si="2"/>
        <v>5.079281387411417</v>
      </c>
    </row>
    <row r="69" spans="1:10" ht="12.75">
      <c r="A69" s="1" t="s">
        <v>70</v>
      </c>
      <c r="B69" s="3">
        <f>502912.22+43.92+43310.89+32.7-18679.99-6.81</f>
        <v>527612.9299999998</v>
      </c>
      <c r="C69" s="3">
        <f>19832.68+257.69</f>
        <v>20090.37</v>
      </c>
      <c r="D69" s="19">
        <f t="shared" si="0"/>
        <v>3.807785756880523</v>
      </c>
      <c r="E69" s="3">
        <f>188775.29+3938.53+8515.91+25.43-32.11</f>
        <v>201223.05000000002</v>
      </c>
      <c r="F69" s="3">
        <f>1422.01+587.25</f>
        <v>2009.26</v>
      </c>
      <c r="G69" s="19">
        <f t="shared" si="5"/>
        <v>0.9985237774698276</v>
      </c>
      <c r="H69" s="5">
        <f t="shared" si="3"/>
        <v>728835.9799999999</v>
      </c>
      <c r="I69" s="5">
        <f t="shared" si="4"/>
        <v>22099.629999999997</v>
      </c>
      <c r="J69" s="19">
        <f t="shared" si="2"/>
        <v>3.0321815341772784</v>
      </c>
    </row>
    <row r="70" spans="1:10" ht="12.75">
      <c r="A70" s="1" t="s">
        <v>71</v>
      </c>
      <c r="B70" s="3">
        <f>202716.44+53122.56+210.33-10680.98</f>
        <v>245368.34999999998</v>
      </c>
      <c r="C70" s="3">
        <v>14367.87</v>
      </c>
      <c r="D70" s="19">
        <f aca="true" t="shared" si="6" ref="D70:D125">C70/B70*100</f>
        <v>5.855632969777888</v>
      </c>
      <c r="E70" s="3">
        <f>31655.91+989.77+4346.69+11.7+0.38</f>
        <v>37004.45</v>
      </c>
      <c r="F70" s="3">
        <f>1762.16+2.33+46.32</f>
        <v>1810.81</v>
      </c>
      <c r="G70" s="19">
        <f t="shared" si="5"/>
        <v>4.893492539410801</v>
      </c>
      <c r="H70" s="5">
        <f t="shared" si="3"/>
        <v>282372.8</v>
      </c>
      <c r="I70" s="5">
        <f t="shared" si="4"/>
        <v>16178.68</v>
      </c>
      <c r="J70" s="19">
        <f aca="true" t="shared" si="7" ref="J70:J125">I70/H70*100</f>
        <v>5.729546188584736</v>
      </c>
    </row>
    <row r="71" spans="1:10" ht="12.75">
      <c r="A71" s="1" t="s">
        <v>72</v>
      </c>
      <c r="B71" s="3">
        <f>227652.04+247.17+150162.24+405.85-2848.45</f>
        <v>375618.85</v>
      </c>
      <c r="C71" s="3">
        <v>21681.61</v>
      </c>
      <c r="D71" s="19">
        <f t="shared" si="6"/>
        <v>5.772236936458327</v>
      </c>
      <c r="E71" s="3">
        <f>273253.33+15238.3+2426.54+29.51</f>
        <v>290947.68</v>
      </c>
      <c r="F71" s="3">
        <f>537.37+13.66</f>
        <v>551.03</v>
      </c>
      <c r="G71" s="19">
        <f t="shared" si="5"/>
        <v>0.1893914397255204</v>
      </c>
      <c r="H71" s="5">
        <f aca="true" t="shared" si="8" ref="H71:H125">(B71+E71)</f>
        <v>666566.53</v>
      </c>
      <c r="I71" s="5">
        <f aca="true" t="shared" si="9" ref="I71:I125">(C71+F71)</f>
        <v>22232.64</v>
      </c>
      <c r="J71" s="19">
        <f t="shared" si="7"/>
        <v>3.335396993305379</v>
      </c>
    </row>
    <row r="72" spans="1:10" ht="12.75">
      <c r="A72" s="1" t="s">
        <v>73</v>
      </c>
      <c r="B72" s="3">
        <f>444900.88+324961.51+477.69-5824.4</f>
        <v>764515.6799999999</v>
      </c>
      <c r="C72" s="3">
        <v>30883.23</v>
      </c>
      <c r="D72" s="19">
        <f t="shared" si="6"/>
        <v>4.039580980209589</v>
      </c>
      <c r="E72" s="3">
        <f>548683.77+38553.57+12231.94-4133.63-9.11</f>
        <v>595326.5399999999</v>
      </c>
      <c r="F72" s="3">
        <f>5592.83+137.82</f>
        <v>5730.65</v>
      </c>
      <c r="G72" s="19">
        <f t="shared" si="5"/>
        <v>0.9626061690446389</v>
      </c>
      <c r="H72" s="5">
        <f t="shared" si="8"/>
        <v>1359842.2199999997</v>
      </c>
      <c r="I72" s="5">
        <f t="shared" si="9"/>
        <v>36613.88</v>
      </c>
      <c r="J72" s="19">
        <f t="shared" si="7"/>
        <v>2.69250942951308</v>
      </c>
    </row>
    <row r="73" spans="1:10" ht="12.75">
      <c r="A73" s="1" t="s">
        <v>74</v>
      </c>
      <c r="B73" s="14">
        <f>369873.8+182.63+73.6+9.15-4083.22</f>
        <v>366055.96</v>
      </c>
      <c r="C73" s="14">
        <v>13971.93</v>
      </c>
      <c r="D73" s="18">
        <f t="shared" si="6"/>
        <v>3.816883626208408</v>
      </c>
      <c r="E73" s="14">
        <f>41421.77+7769.82+1924.78+2996.93+7.35+0.74-5795.51-46.72</f>
        <v>48279.15999999999</v>
      </c>
      <c r="F73" s="14">
        <v>70.84</v>
      </c>
      <c r="G73" s="18">
        <f t="shared" si="5"/>
        <v>0.14672997624647988</v>
      </c>
      <c r="H73" s="15">
        <f t="shared" si="8"/>
        <v>414335.12</v>
      </c>
      <c r="I73" s="15">
        <f t="shared" si="9"/>
        <v>14042.77</v>
      </c>
      <c r="J73" s="18">
        <f t="shared" si="7"/>
        <v>3.3892299547284335</v>
      </c>
    </row>
    <row r="74" spans="1:10" ht="12.75">
      <c r="A74" s="1" t="s">
        <v>75</v>
      </c>
      <c r="B74" s="3">
        <f>907904.59+249.86+75.12+1046.21-4539.27</f>
        <v>904736.5099999999</v>
      </c>
      <c r="C74" s="3">
        <v>26076.6</v>
      </c>
      <c r="D74" s="19">
        <f t="shared" si="6"/>
        <v>2.882231424484019</v>
      </c>
      <c r="E74" s="3">
        <f>74916.91+3091.33+28852.94+12398.33+68.41+4.45+6.14-1317.11</f>
        <v>118021.40000000001</v>
      </c>
      <c r="F74" s="3">
        <f>216.28+297.34</f>
        <v>513.62</v>
      </c>
      <c r="G74" s="19">
        <f t="shared" si="5"/>
        <v>0.4351922617423619</v>
      </c>
      <c r="H74" s="5">
        <f t="shared" si="8"/>
        <v>1022757.9099999999</v>
      </c>
      <c r="I74" s="5">
        <f t="shared" si="9"/>
        <v>26590.219999999998</v>
      </c>
      <c r="J74" s="19">
        <f t="shared" si="7"/>
        <v>2.5998547398181455</v>
      </c>
    </row>
    <row r="75" spans="1:10" ht="12.75">
      <c r="A75" s="1" t="s">
        <v>76</v>
      </c>
      <c r="B75" s="3">
        <f>484801+546.8+281.08-2538.08</f>
        <v>483090.8</v>
      </c>
      <c r="C75" s="3">
        <v>13411.22</v>
      </c>
      <c r="D75" s="19">
        <f t="shared" si="6"/>
        <v>2.77612821440607</v>
      </c>
      <c r="E75" s="3">
        <f>225901.74+116147.11+10248.83+832.41+2.71</f>
        <v>353132.8</v>
      </c>
      <c r="F75" s="3">
        <v>731.55</v>
      </c>
      <c r="G75" s="19">
        <f t="shared" si="5"/>
        <v>0.20716002591659569</v>
      </c>
      <c r="H75" s="5">
        <f t="shared" si="8"/>
        <v>836223.6</v>
      </c>
      <c r="I75" s="5">
        <f t="shared" si="9"/>
        <v>14142.769999999999</v>
      </c>
      <c r="J75" s="19">
        <f t="shared" si="7"/>
        <v>1.6912665464117491</v>
      </c>
    </row>
    <row r="76" spans="1:10" ht="12.75">
      <c r="A76" s="1" t="s">
        <v>77</v>
      </c>
      <c r="B76" s="3">
        <f>1153617.43+341.72+527.79+1571.53-5199.92</f>
        <v>1150858.55</v>
      </c>
      <c r="C76" s="3">
        <v>24372.06</v>
      </c>
      <c r="D76" s="19">
        <f t="shared" si="6"/>
        <v>2.1177285427474994</v>
      </c>
      <c r="E76" s="3">
        <f>226761.7+1437.06+603659.71+17637.59+118127.87+1594.62+2126.37+8.24+0.07-1871.04-17637.59-1625.59</f>
        <v>950219.0099999999</v>
      </c>
      <c r="F76" s="3">
        <f>2612.61+441.55+2.4</f>
        <v>3056.5600000000004</v>
      </c>
      <c r="G76" s="19">
        <f t="shared" si="5"/>
        <v>0.3216690013389651</v>
      </c>
      <c r="H76" s="5">
        <f t="shared" si="8"/>
        <v>2101077.56</v>
      </c>
      <c r="I76" s="5">
        <f t="shared" si="9"/>
        <v>27428.620000000003</v>
      </c>
      <c r="J76" s="19">
        <f t="shared" si="7"/>
        <v>1.3054549019123312</v>
      </c>
    </row>
    <row r="77" spans="1:10" ht="12.75">
      <c r="A77" s="1" t="s">
        <v>78</v>
      </c>
      <c r="B77" s="3">
        <f>656410.32+91.5+68.28-2650.18</f>
        <v>653919.9199999999</v>
      </c>
      <c r="C77" s="3">
        <v>9518.91</v>
      </c>
      <c r="D77" s="19">
        <f t="shared" si="6"/>
        <v>1.4556690672460324</v>
      </c>
      <c r="E77" s="3">
        <f>53270.97+8773.67+7969.89+42.3+487.65-293.88-20.89</f>
        <v>70229.70999999999</v>
      </c>
      <c r="F77" s="3">
        <f>599.77+22.55</f>
        <v>622.3199999999999</v>
      </c>
      <c r="G77" s="19">
        <f t="shared" si="5"/>
        <v>0.8861207030471863</v>
      </c>
      <c r="H77" s="5">
        <f t="shared" si="8"/>
        <v>724149.6299999999</v>
      </c>
      <c r="I77" s="5">
        <f t="shared" si="9"/>
        <v>10141.23</v>
      </c>
      <c r="J77" s="19">
        <f t="shared" si="7"/>
        <v>1.4004329464340126</v>
      </c>
    </row>
    <row r="78" spans="1:10" ht="12.75">
      <c r="A78" s="1" t="s">
        <v>79</v>
      </c>
      <c r="B78" s="3">
        <f>4670808.83+1429.23+1737.98+3851.3-29447.2</f>
        <v>4648380.140000001</v>
      </c>
      <c r="C78" s="3">
        <v>186264.08</v>
      </c>
      <c r="D78" s="19">
        <f t="shared" si="6"/>
        <v>4.007075032378913</v>
      </c>
      <c r="E78" s="3">
        <f>571007.46+927.25+181.34+633989.45+173.18+156189.22+356.07+104.96+9560.85+26.56+0.04-2382.62-29396.05-6449.44</f>
        <v>1334288.27</v>
      </c>
      <c r="F78" s="3">
        <f>28682.75+175.5+1058.16+33.75</f>
        <v>29950.16</v>
      </c>
      <c r="G78" s="19">
        <f t="shared" si="5"/>
        <v>2.2446543729264743</v>
      </c>
      <c r="H78" s="5">
        <f t="shared" si="8"/>
        <v>5982668.41</v>
      </c>
      <c r="I78" s="5">
        <f t="shared" si="9"/>
        <v>216214.24</v>
      </c>
      <c r="J78" s="19">
        <f t="shared" si="7"/>
        <v>3.614010090189838</v>
      </c>
    </row>
    <row r="79" spans="1:10" ht="12.75">
      <c r="A79" s="1" t="s">
        <v>80</v>
      </c>
      <c r="B79" s="3">
        <f>223044.53+46054.26+27.26-1594.42-116.85</f>
        <v>267414.78</v>
      </c>
      <c r="C79" s="3">
        <f>15126.23+3524.92</f>
        <v>18651.15</v>
      </c>
      <c r="D79" s="19">
        <f>C79/B79*100</f>
        <v>6.974614492138392</v>
      </c>
      <c r="E79" s="3">
        <f>338611.81+3967.29+10025.24-212.59</f>
        <v>352391.74999999994</v>
      </c>
      <c r="F79" s="3">
        <f>30270.94+218.22</f>
        <v>30489.16</v>
      </c>
      <c r="G79" s="19">
        <f>F79/E79*100</f>
        <v>8.652064073577206</v>
      </c>
      <c r="H79" s="5">
        <f>(B79+E79)</f>
        <v>619806.53</v>
      </c>
      <c r="I79" s="5">
        <f>(C79+F79)</f>
        <v>49140.31</v>
      </c>
      <c r="J79" s="19">
        <f>I79/H79*100</f>
        <v>7.928330474349793</v>
      </c>
    </row>
    <row r="80" spans="1:10" ht="12.75">
      <c r="A80" s="1" t="s">
        <v>81</v>
      </c>
      <c r="B80" s="3">
        <f>990118.06+378.36+47.03+525-1491.76</f>
        <v>989576.6900000001</v>
      </c>
      <c r="C80" s="3">
        <v>14874.93</v>
      </c>
      <c r="D80" s="19">
        <f>C80/B80*100</f>
        <v>1.5031609121674034</v>
      </c>
      <c r="E80" s="3">
        <f>179755.8+355813.95+42759.75+13.58+0.15-12.55-1.21</f>
        <v>578329.47</v>
      </c>
      <c r="F80" s="3">
        <f>1357.71+11.78</f>
        <v>1369.49</v>
      </c>
      <c r="G80" s="19">
        <f>F80/E80*100</f>
        <v>0.23680100548913754</v>
      </c>
      <c r="H80" s="5">
        <f>(B80+E80)</f>
        <v>1567906.1600000001</v>
      </c>
      <c r="I80" s="5">
        <f>(C80+F80)</f>
        <v>16244.42</v>
      </c>
      <c r="J80" s="19">
        <f>I80/H80*100</f>
        <v>1.036058178379757</v>
      </c>
    </row>
    <row r="81" spans="1:10" ht="12.75">
      <c r="A81" s="1" t="s">
        <v>82</v>
      </c>
      <c r="B81" s="3">
        <f>1876431.08+90.77+1713.3+42.05-9911.6</f>
        <v>1868365.6</v>
      </c>
      <c r="C81" s="3">
        <v>46344.06</v>
      </c>
      <c r="D81" s="19">
        <f t="shared" si="6"/>
        <v>2.480459927114907</v>
      </c>
      <c r="E81" s="3">
        <f>500768.47+1140713.9+120226.45+153.29+18.98+669.94+2.48-540-153.29</f>
        <v>1761860.2199999997</v>
      </c>
      <c r="F81" s="3">
        <f>1278.48+84.51+198.3</f>
        <v>1561.29</v>
      </c>
      <c r="G81" s="19">
        <f t="shared" si="5"/>
        <v>0.0886159970170619</v>
      </c>
      <c r="H81" s="5">
        <f t="shared" si="8"/>
        <v>3630225.82</v>
      </c>
      <c r="I81" s="5">
        <f t="shared" si="9"/>
        <v>47905.35</v>
      </c>
      <c r="J81" s="19">
        <f t="shared" si="7"/>
        <v>1.3196245185650737</v>
      </c>
    </row>
    <row r="82" spans="1:10" ht="12.75">
      <c r="A82" s="1" t="s">
        <v>83</v>
      </c>
      <c r="B82" s="3">
        <f>232251.66+550.03+230243.49+907.39-2525.52</f>
        <v>461427.05</v>
      </c>
      <c r="C82" s="3">
        <f>25117.1+83.88</f>
        <v>25200.98</v>
      </c>
      <c r="D82" s="19">
        <f t="shared" si="6"/>
        <v>5.4615307013318795</v>
      </c>
      <c r="E82" s="3">
        <f>544187.1+48545.57+9393.36+1.53</f>
        <v>602127.5599999999</v>
      </c>
      <c r="F82" s="3">
        <f>161816.54+15910.64+1414.29</f>
        <v>179141.47</v>
      </c>
      <c r="G82" s="19">
        <f t="shared" si="5"/>
        <v>29.751415132036147</v>
      </c>
      <c r="H82" s="5">
        <f t="shared" si="8"/>
        <v>1063554.6099999999</v>
      </c>
      <c r="I82" s="5">
        <f t="shared" si="9"/>
        <v>204342.45</v>
      </c>
      <c r="J82" s="19">
        <f t="shared" si="7"/>
        <v>19.21316010279905</v>
      </c>
    </row>
    <row r="83" spans="1:10" ht="12.75">
      <c r="A83" s="1" t="s">
        <v>84</v>
      </c>
      <c r="B83" s="14">
        <f>871925.68+2793.17+3130.26-3113.26</f>
        <v>874735.8500000001</v>
      </c>
      <c r="C83" s="14">
        <v>12526.27</v>
      </c>
      <c r="D83" s="18">
        <f t="shared" si="6"/>
        <v>1.43200601644485</v>
      </c>
      <c r="E83" s="14">
        <f>382791.06+293885.59+40687.96+3299.56-4.59</f>
        <v>720659.5800000001</v>
      </c>
      <c r="F83" s="14">
        <f>1453.08+377.41</f>
        <v>1830.49</v>
      </c>
      <c r="G83" s="18">
        <f t="shared" si="5"/>
        <v>0.25400203519115083</v>
      </c>
      <c r="H83" s="15">
        <f t="shared" si="8"/>
        <v>1595395.4300000002</v>
      </c>
      <c r="I83" s="15">
        <f t="shared" si="9"/>
        <v>14356.76</v>
      </c>
      <c r="J83" s="18">
        <f t="shared" si="7"/>
        <v>0.8998872461355865</v>
      </c>
    </row>
    <row r="84" spans="1:10" ht="12.75">
      <c r="A84" s="1" t="s">
        <v>85</v>
      </c>
      <c r="B84" s="3">
        <f>3802805.71+669.53+41.97+786.99+179.54-20314.63</f>
        <v>3784169.1100000003</v>
      </c>
      <c r="C84" s="3">
        <v>146782.36</v>
      </c>
      <c r="D84" s="19">
        <f t="shared" si="6"/>
        <v>3.878853078001051</v>
      </c>
      <c r="E84" s="3">
        <f>1135673.17+29.04+100876.35+18+1370910.07+3740.54+33.24+412.49+17.24-19431.7-88.08</f>
        <v>2592190.3600000003</v>
      </c>
      <c r="F84" s="3">
        <f>33600.74+807.5</f>
        <v>34408.24</v>
      </c>
      <c r="G84" s="19">
        <f t="shared" si="5"/>
        <v>1.327380910405052</v>
      </c>
      <c r="H84" s="5">
        <f t="shared" si="8"/>
        <v>6376359.470000001</v>
      </c>
      <c r="I84" s="5">
        <f t="shared" si="9"/>
        <v>181190.59999999998</v>
      </c>
      <c r="J84" s="19">
        <f t="shared" si="7"/>
        <v>2.8415995185415723</v>
      </c>
    </row>
    <row r="85" spans="1:10" ht="12.75">
      <c r="A85" s="1" t="s">
        <v>86</v>
      </c>
      <c r="B85" s="3">
        <f>403353.14+192.27+4367.33+328.55-3630.11</f>
        <v>404611.18000000005</v>
      </c>
      <c r="C85" s="3">
        <v>26230.41</v>
      </c>
      <c r="D85" s="19">
        <f t="shared" si="6"/>
        <v>6.482868318171533</v>
      </c>
      <c r="E85" s="3">
        <f>33609.53+7102.69+6519.16+3126.46+2.71+1.91-3126.46</f>
        <v>47236.00000000001</v>
      </c>
      <c r="F85" s="3">
        <f>101.31+32.37</f>
        <v>133.68</v>
      </c>
      <c r="G85" s="19">
        <f t="shared" si="5"/>
        <v>0.28300448810229484</v>
      </c>
      <c r="H85" s="5">
        <f t="shared" si="8"/>
        <v>451847.18000000005</v>
      </c>
      <c r="I85" s="5">
        <f t="shared" si="9"/>
        <v>26364.09</v>
      </c>
      <c r="J85" s="19">
        <f t="shared" si="7"/>
        <v>5.834735983081713</v>
      </c>
    </row>
    <row r="86" spans="1:10" ht="12.75">
      <c r="A86" s="1" t="s">
        <v>87</v>
      </c>
      <c r="B86" s="3">
        <f>416872.03+9574.92-1126.26</f>
        <v>425320.69</v>
      </c>
      <c r="C86" s="3">
        <f>7130.56+118.34</f>
        <v>7248.900000000001</v>
      </c>
      <c r="D86" s="19">
        <f t="shared" si="6"/>
        <v>1.7043374964900013</v>
      </c>
      <c r="E86" s="3">
        <f>47914.63+11761.41+10084.4+1386.58+35.03-6.95</f>
        <v>71175.09999999999</v>
      </c>
      <c r="F86" s="3">
        <v>13.57</v>
      </c>
      <c r="G86" s="19">
        <f t="shared" si="5"/>
        <v>0.01906565638825938</v>
      </c>
      <c r="H86" s="5">
        <f t="shared" si="8"/>
        <v>496495.79</v>
      </c>
      <c r="I86" s="5">
        <f t="shared" si="9"/>
        <v>7262.47</v>
      </c>
      <c r="J86" s="19">
        <f t="shared" si="7"/>
        <v>1.4627455350628453</v>
      </c>
    </row>
    <row r="87" spans="1:10" ht="12.75">
      <c r="A87" s="1" t="s">
        <v>88</v>
      </c>
      <c r="B87" s="3">
        <f>1161029.23+32952.45+62.47-4141.66</f>
        <v>1189902.49</v>
      </c>
      <c r="C87" s="3">
        <f>29343.5+112.79</f>
        <v>29456.29</v>
      </c>
      <c r="D87" s="19">
        <f t="shared" si="6"/>
        <v>2.475521334525487</v>
      </c>
      <c r="E87" s="3">
        <f>158573.63+811.48+105934.18+2021.65+18702.17+52.25-6064.94</f>
        <v>280030.42000000004</v>
      </c>
      <c r="F87" s="3">
        <v>341.44</v>
      </c>
      <c r="G87" s="19">
        <f t="shared" si="5"/>
        <v>0.12192961036161712</v>
      </c>
      <c r="H87" s="5">
        <f t="shared" si="8"/>
        <v>1469932.9100000001</v>
      </c>
      <c r="I87" s="5">
        <f t="shared" si="9"/>
        <v>29797.73</v>
      </c>
      <c r="J87" s="19">
        <f t="shared" si="7"/>
        <v>2.027148980561296</v>
      </c>
    </row>
    <row r="88" spans="1:10" ht="12.75">
      <c r="A88" s="1" t="s">
        <v>89</v>
      </c>
      <c r="B88" s="3">
        <f>160926.61+19.03+442.75-1122.46</f>
        <v>160265.93</v>
      </c>
      <c r="C88" s="3">
        <v>8422.71</v>
      </c>
      <c r="D88" s="19">
        <f t="shared" si="6"/>
        <v>5.255458848926905</v>
      </c>
      <c r="E88" s="3">
        <f>13383.25+7197.14+2743.35+0.29-32.98</f>
        <v>23291.05</v>
      </c>
      <c r="F88" s="3">
        <f>304.09+27.46</f>
        <v>331.54999999999995</v>
      </c>
      <c r="G88" s="19">
        <f t="shared" si="5"/>
        <v>1.4235081715938096</v>
      </c>
      <c r="H88" s="5">
        <f t="shared" si="8"/>
        <v>183556.97999999998</v>
      </c>
      <c r="I88" s="5">
        <f t="shared" si="9"/>
        <v>8754.259999999998</v>
      </c>
      <c r="J88" s="19">
        <f t="shared" si="7"/>
        <v>4.769232965153381</v>
      </c>
    </row>
    <row r="89" spans="1:10" ht="12.75">
      <c r="A89" s="1" t="s">
        <v>90</v>
      </c>
      <c r="B89" s="14">
        <f>1367740.41+780.37+139.23+768.15-3881.66</f>
        <v>1365546.5</v>
      </c>
      <c r="C89" s="14">
        <v>42922.71</v>
      </c>
      <c r="D89" s="18">
        <f t="shared" si="6"/>
        <v>3.1432624227735926</v>
      </c>
      <c r="E89" s="14">
        <f>195358.8+254.07+345407.14+23306.73+136.76+0.57-14.42</f>
        <v>564449.6499999999</v>
      </c>
      <c r="F89" s="14">
        <f>1505.03+62.97+2.39</f>
        <v>1570.39</v>
      </c>
      <c r="G89" s="18">
        <f t="shared" si="5"/>
        <v>0.2782161349555271</v>
      </c>
      <c r="H89" s="15">
        <f t="shared" si="8"/>
        <v>1929996.15</v>
      </c>
      <c r="I89" s="15">
        <f t="shared" si="9"/>
        <v>44493.1</v>
      </c>
      <c r="J89" s="18">
        <f t="shared" si="7"/>
        <v>2.3053465676602514</v>
      </c>
    </row>
    <row r="90" spans="1:10" ht="12.75">
      <c r="A90" s="1" t="s">
        <v>91</v>
      </c>
      <c r="B90" s="3">
        <f>314353.53+53.31+4455.44+117.12-1499.44</f>
        <v>317479.96</v>
      </c>
      <c r="C90" s="3">
        <v>9943.56</v>
      </c>
      <c r="D90" s="18">
        <f t="shared" si="6"/>
        <v>3.132027608923725</v>
      </c>
      <c r="E90" s="3">
        <f>48821.65+114675.06+11552.7+5+2.25-47.05-7.52</f>
        <v>175002.09000000003</v>
      </c>
      <c r="F90" s="3">
        <f>167.17+32.5</f>
        <v>199.67</v>
      </c>
      <c r="G90" s="19">
        <f t="shared" si="5"/>
        <v>0.11409578022753897</v>
      </c>
      <c r="H90" s="5">
        <f t="shared" si="8"/>
        <v>492482.05000000005</v>
      </c>
      <c r="I90" s="5">
        <f t="shared" si="9"/>
        <v>10143.23</v>
      </c>
      <c r="J90" s="19">
        <f t="shared" si="7"/>
        <v>2.059614152434591</v>
      </c>
    </row>
    <row r="91" spans="1:10" ht="12.75">
      <c r="A91" s="1" t="s">
        <v>92</v>
      </c>
      <c r="B91" s="3">
        <f>329623.98+10.13+253.05-878.96</f>
        <v>329008.19999999995</v>
      </c>
      <c r="C91" s="3">
        <v>7239.05</v>
      </c>
      <c r="D91" s="19">
        <f t="shared" si="6"/>
        <v>2.200264309521769</v>
      </c>
      <c r="E91" s="3">
        <f>50947.14+23529.53+14451.53+4.5+36.26</f>
        <v>88968.95999999999</v>
      </c>
      <c r="F91" s="3">
        <f>214.88+12.4</f>
        <v>227.28</v>
      </c>
      <c r="G91" s="19">
        <f>F91/E91*100</f>
        <v>0.25545988173852996</v>
      </c>
      <c r="H91" s="5">
        <f t="shared" si="8"/>
        <v>417977.1599999999</v>
      </c>
      <c r="I91" s="5">
        <f t="shared" si="9"/>
        <v>7466.33</v>
      </c>
      <c r="J91" s="19">
        <f t="shared" si="7"/>
        <v>1.7863009548177229</v>
      </c>
    </row>
    <row r="92" spans="1:10" ht="12.75">
      <c r="A92" s="1" t="s">
        <v>93</v>
      </c>
      <c r="B92" s="3">
        <f>1346320.79+314.52+324.47+711.37+5532.72-3752.72</f>
        <v>1349451.1500000001</v>
      </c>
      <c r="C92" s="3">
        <v>37664.02</v>
      </c>
      <c r="D92" s="19">
        <f t="shared" si="6"/>
        <v>2.791062129221943</v>
      </c>
      <c r="E92" s="3">
        <f>229617.14+628.2+212552.93+57420.07+2444+2.18</f>
        <v>502664.52</v>
      </c>
      <c r="F92" s="3">
        <f>3928.43+302.14+6.3</f>
        <v>4236.87</v>
      </c>
      <c r="G92" s="19">
        <f t="shared" si="5"/>
        <v>0.8428822467915579</v>
      </c>
      <c r="H92" s="5">
        <f t="shared" si="8"/>
        <v>1852115.6700000002</v>
      </c>
      <c r="I92" s="5">
        <f t="shared" si="9"/>
        <v>41900.89</v>
      </c>
      <c r="J92" s="19">
        <f t="shared" si="7"/>
        <v>2.2623257649993316</v>
      </c>
    </row>
    <row r="93" spans="1:10" ht="12.75">
      <c r="A93" s="1" t="s">
        <v>94</v>
      </c>
      <c r="B93" s="3">
        <f>306471.27+36.6+4461.31+494.1-2517.23</f>
        <v>308946.05</v>
      </c>
      <c r="C93" s="3">
        <v>23521.93</v>
      </c>
      <c r="D93" s="19">
        <f t="shared" si="6"/>
        <v>7.613604381735906</v>
      </c>
      <c r="E93" s="3">
        <f>110651.79+4293.04+5932.48+15.19+2.65-129.7</f>
        <v>120765.44999999998</v>
      </c>
      <c r="F93" s="3">
        <f>46427.46+112.86+0.1</f>
        <v>46540.42</v>
      </c>
      <c r="G93" s="19">
        <f t="shared" si="5"/>
        <v>38.53785995911911</v>
      </c>
      <c r="H93" s="5">
        <f t="shared" si="8"/>
        <v>429711.5</v>
      </c>
      <c r="I93" s="5">
        <f t="shared" si="9"/>
        <v>70062.35</v>
      </c>
      <c r="J93" s="19">
        <f t="shared" si="7"/>
        <v>16.30450895542707</v>
      </c>
    </row>
    <row r="94" spans="1:10" ht="12.75">
      <c r="A94" s="1" t="s">
        <v>95</v>
      </c>
      <c r="B94" s="3">
        <f>1030907.83+329.31-13904.36</f>
        <v>1017332.78</v>
      </c>
      <c r="C94" s="3">
        <v>31209.5</v>
      </c>
      <c r="D94" s="19">
        <f t="shared" si="6"/>
        <v>3.0677768979389417</v>
      </c>
      <c r="E94" s="3">
        <f>441302.88+44468.87+43327.37+304.22+265.63+10.04-304.22-3.68</f>
        <v>529371.11</v>
      </c>
      <c r="F94" s="3">
        <f>1704.67+250.05+50.76</f>
        <v>2005.48</v>
      </c>
      <c r="G94" s="19">
        <f t="shared" si="5"/>
        <v>0.3788419810064815</v>
      </c>
      <c r="H94" s="5">
        <f t="shared" si="8"/>
        <v>1546703.8900000001</v>
      </c>
      <c r="I94" s="5">
        <f t="shared" si="9"/>
        <v>33214.98</v>
      </c>
      <c r="J94" s="19">
        <f t="shared" si="7"/>
        <v>2.147468575901752</v>
      </c>
    </row>
    <row r="95" spans="1:10" ht="12.75">
      <c r="A95" s="1" t="s">
        <v>96</v>
      </c>
      <c r="B95" s="14">
        <f>2775846.62+1122.36+80.62+99.13+390-16199.45</f>
        <v>2761339.28</v>
      </c>
      <c r="C95" s="14">
        <v>38920.38</v>
      </c>
      <c r="D95" s="18">
        <f t="shared" si="6"/>
        <v>1.4094747531350078</v>
      </c>
      <c r="E95" s="14">
        <f>330032.54+546922.35+65855.55+1273.52-17.43-37.85</f>
        <v>944028.6799999999</v>
      </c>
      <c r="F95" s="14">
        <f>4829.67+204.34</f>
        <v>5034.01</v>
      </c>
      <c r="G95" s="18">
        <f t="shared" si="5"/>
        <v>0.5332475704022044</v>
      </c>
      <c r="H95" s="15">
        <f t="shared" si="8"/>
        <v>3705367.96</v>
      </c>
      <c r="I95" s="15">
        <f t="shared" si="9"/>
        <v>43954.39</v>
      </c>
      <c r="J95" s="18">
        <f t="shared" si="7"/>
        <v>1.1862354960288477</v>
      </c>
    </row>
    <row r="96" spans="1:10" ht="12.75">
      <c r="A96" s="1" t="s">
        <v>97</v>
      </c>
      <c r="B96" s="3">
        <f>254091.44+41.11+44.15-677.34</f>
        <v>253499.36</v>
      </c>
      <c r="C96" s="3">
        <v>5488.83</v>
      </c>
      <c r="D96" s="19">
        <f t="shared" si="6"/>
        <v>2.165224401355491</v>
      </c>
      <c r="E96" s="3">
        <f>14436.36+4358.32+1165.96+0.34</f>
        <v>19960.98</v>
      </c>
      <c r="F96" s="3">
        <v>87.1</v>
      </c>
      <c r="G96" s="19">
        <f t="shared" si="5"/>
        <v>0.4363513214281062</v>
      </c>
      <c r="H96" s="5">
        <f t="shared" si="8"/>
        <v>273460.33999999997</v>
      </c>
      <c r="I96" s="5">
        <f t="shared" si="9"/>
        <v>5575.93</v>
      </c>
      <c r="J96" s="19">
        <f t="shared" si="7"/>
        <v>2.0390269389703826</v>
      </c>
    </row>
    <row r="97" spans="1:10" ht="12.75">
      <c r="A97" s="1" t="s">
        <v>98</v>
      </c>
      <c r="B97" s="3">
        <f>771122.54+11941.55+20427.79-5441.39</f>
        <v>798050.4900000001</v>
      </c>
      <c r="C97" s="3">
        <v>23089.11</v>
      </c>
      <c r="D97" s="19">
        <f t="shared" si="6"/>
        <v>2.893189126417302</v>
      </c>
      <c r="E97" s="3">
        <f>397430.35+155939.85+22975.88+6.95+447.19+17.34-74.14</f>
        <v>576743.4199999998</v>
      </c>
      <c r="F97" s="3">
        <f>169.39+117.67</f>
        <v>287.06</v>
      </c>
      <c r="G97" s="19">
        <f t="shared" si="5"/>
        <v>0.04977256610920678</v>
      </c>
      <c r="H97" s="5">
        <f t="shared" si="8"/>
        <v>1374793.91</v>
      </c>
      <c r="I97" s="5">
        <f t="shared" si="9"/>
        <v>23376.170000000002</v>
      </c>
      <c r="J97" s="19">
        <f t="shared" si="7"/>
        <v>1.7003399440429587</v>
      </c>
    </row>
    <row r="98" spans="1:10" ht="12.75">
      <c r="A98" s="1" t="s">
        <v>99</v>
      </c>
      <c r="B98" s="3">
        <f>6637103.77+1005.02+1894.65+10095.92-35676.8</f>
        <v>6614422.56</v>
      </c>
      <c r="C98" s="3">
        <f>105760.67+93.12+613.66</f>
        <v>106467.45</v>
      </c>
      <c r="D98" s="19">
        <f t="shared" si="6"/>
        <v>1.6096257690557951</v>
      </c>
      <c r="E98" s="3">
        <f>239883.14+31578.66+30854.05+787.85+53.59-544.58-57.37</f>
        <v>302555.33999999997</v>
      </c>
      <c r="F98" s="3">
        <f>6587.14+1355.86+418.87+14.1+0.93</f>
        <v>8376.900000000001</v>
      </c>
      <c r="G98" s="19">
        <f t="shared" si="5"/>
        <v>2.768716625527086</v>
      </c>
      <c r="H98" s="5">
        <f t="shared" si="8"/>
        <v>6916977.899999999</v>
      </c>
      <c r="I98" s="5">
        <f t="shared" si="9"/>
        <v>114844.35</v>
      </c>
      <c r="J98" s="19">
        <f t="shared" si="7"/>
        <v>1.660325530315776</v>
      </c>
    </row>
    <row r="99" spans="1:10" ht="12.75">
      <c r="A99" s="1" t="s">
        <v>100</v>
      </c>
      <c r="B99" s="3">
        <f>502757.74+82.23+75.64-1489.86</f>
        <v>501425.75</v>
      </c>
      <c r="C99" s="3">
        <v>10483.34</v>
      </c>
      <c r="D99" s="19">
        <f t="shared" si="6"/>
        <v>2.0907063508405783</v>
      </c>
      <c r="E99" s="3">
        <f>39411.12+431.65+2050.96+21.09+6.24-13.5-97.33</f>
        <v>41810.229999999996</v>
      </c>
      <c r="F99" s="3">
        <f>708.92+3.13</f>
        <v>712.05</v>
      </c>
      <c r="G99" s="19">
        <f t="shared" si="5"/>
        <v>1.703052099928654</v>
      </c>
      <c r="H99" s="5">
        <f t="shared" si="8"/>
        <v>543235.98</v>
      </c>
      <c r="I99" s="5">
        <f t="shared" si="9"/>
        <v>11195.39</v>
      </c>
      <c r="J99" s="19">
        <f t="shared" si="7"/>
        <v>2.06087048946942</v>
      </c>
    </row>
    <row r="100" spans="1:10" ht="12.75">
      <c r="A100" s="1" t="s">
        <v>101</v>
      </c>
      <c r="B100" s="3">
        <f>93614.65+21.96+1406.88-2647.77</f>
        <v>92395.72</v>
      </c>
      <c r="C100" s="3">
        <f>7691.8+6.81</f>
        <v>7698.610000000001</v>
      </c>
      <c r="D100" s="19">
        <f t="shared" si="6"/>
        <v>8.332214955411354</v>
      </c>
      <c r="E100" s="3">
        <f>8436.44+368.51</f>
        <v>8804.95</v>
      </c>
      <c r="F100" s="3">
        <f>226.23+16.68</f>
        <v>242.91</v>
      </c>
      <c r="G100" s="19">
        <f t="shared" si="5"/>
        <v>2.7587890902276557</v>
      </c>
      <c r="H100" s="5">
        <f t="shared" si="8"/>
        <v>101200.67</v>
      </c>
      <c r="I100" s="5">
        <f t="shared" si="9"/>
        <v>7941.52</v>
      </c>
      <c r="J100" s="19">
        <f t="shared" si="7"/>
        <v>7.847299825188905</v>
      </c>
    </row>
    <row r="101" spans="1:10" ht="12.75">
      <c r="A101" s="1" t="s">
        <v>102</v>
      </c>
      <c r="B101" s="14">
        <f>643032.6+96.87+3678.22+46.8-2078.98</f>
        <v>644775.51</v>
      </c>
      <c r="C101" s="14">
        <v>11874.47</v>
      </c>
      <c r="D101" s="18">
        <f t="shared" si="6"/>
        <v>1.8416440785724009</v>
      </c>
      <c r="E101" s="14">
        <f>114392.48+98023.16+7195.73+84.96</f>
        <v>219696.33000000002</v>
      </c>
      <c r="F101" s="14">
        <f>230.23+1.5</f>
        <v>231.73</v>
      </c>
      <c r="G101" s="18">
        <f t="shared" si="5"/>
        <v>0.1054774105693982</v>
      </c>
      <c r="H101" s="15">
        <f t="shared" si="8"/>
        <v>864471.8400000001</v>
      </c>
      <c r="I101" s="15">
        <f t="shared" si="9"/>
        <v>12106.199999999999</v>
      </c>
      <c r="J101" s="18">
        <f t="shared" si="7"/>
        <v>1.4004157729417765</v>
      </c>
    </row>
    <row r="102" spans="1:10" ht="12.75">
      <c r="A102" s="1" t="s">
        <v>103</v>
      </c>
      <c r="B102" s="3">
        <f>921384.66+249444.05+1006.35-5681.74</f>
        <v>1166153.32</v>
      </c>
      <c r="C102" s="3">
        <v>72670.89</v>
      </c>
      <c r="D102" s="19">
        <f t="shared" si="6"/>
        <v>6.231675436982848</v>
      </c>
      <c r="E102" s="3">
        <f>1266635.66+0.84+163492.85+48926.91+6821.3+0.3-13897.59-30.1</f>
        <v>1471950.17</v>
      </c>
      <c r="F102" s="3">
        <f>29235.81+45.8+496.44+52.5</f>
        <v>29830.55</v>
      </c>
      <c r="G102" s="19">
        <f t="shared" si="5"/>
        <v>2.026600533630836</v>
      </c>
      <c r="H102" s="5">
        <f t="shared" si="8"/>
        <v>2638103.49</v>
      </c>
      <c r="I102" s="5">
        <f t="shared" si="9"/>
        <v>102501.44</v>
      </c>
      <c r="J102" s="19">
        <f t="shared" si="7"/>
        <v>3.885421492695117</v>
      </c>
    </row>
    <row r="103" spans="1:10" ht="12.75">
      <c r="A103" s="1" t="s">
        <v>104</v>
      </c>
      <c r="B103" s="3">
        <f>1735708.64+1103034.06+4202.02-9939.58</f>
        <v>2833005.14</v>
      </c>
      <c r="C103" s="3">
        <v>160887.58</v>
      </c>
      <c r="D103" s="19">
        <f t="shared" si="6"/>
        <v>5.679042996723966</v>
      </c>
      <c r="E103" s="3">
        <f>2071290.97+4719.97+325063.15+77122.01+128.57+0.31-3788.01</f>
        <v>2474536.9699999997</v>
      </c>
      <c r="F103" s="3">
        <f>157466.38+3866.58+1046.1</f>
        <v>162379.06</v>
      </c>
      <c r="G103" s="19">
        <f t="shared" si="5"/>
        <v>6.561997738106132</v>
      </c>
      <c r="H103" s="5">
        <f t="shared" si="8"/>
        <v>5307542.109999999</v>
      </c>
      <c r="I103" s="5">
        <f t="shared" si="9"/>
        <v>323266.64</v>
      </c>
      <c r="J103" s="19">
        <f t="shared" si="7"/>
        <v>6.090703253977575</v>
      </c>
    </row>
    <row r="104" spans="1:10" ht="12.75">
      <c r="A104" s="1" t="s">
        <v>105</v>
      </c>
      <c r="B104" s="3">
        <f>428506.52+158.55+1191.03+376.4-3594.81</f>
        <v>426637.69000000006</v>
      </c>
      <c r="C104" s="3">
        <v>28818.79</v>
      </c>
      <c r="D104" s="19">
        <f t="shared" si="6"/>
        <v>6.754862656414626</v>
      </c>
      <c r="E104" s="3">
        <f>53540.74+8787.22+6879.98+16.87</f>
        <v>69224.81</v>
      </c>
      <c r="F104" s="3">
        <f>2378.55+153.33</f>
        <v>2531.88</v>
      </c>
      <c r="G104" s="19">
        <f t="shared" si="5"/>
        <v>3.657474827305413</v>
      </c>
      <c r="H104" s="5">
        <f t="shared" si="8"/>
        <v>495862.50000000006</v>
      </c>
      <c r="I104" s="5">
        <f t="shared" si="9"/>
        <v>31350.670000000002</v>
      </c>
      <c r="J104" s="19">
        <f t="shared" si="7"/>
        <v>6.322452292722276</v>
      </c>
    </row>
    <row r="105" spans="1:10" ht="12.75">
      <c r="A105" s="1" t="s">
        <v>106</v>
      </c>
      <c r="B105" s="3">
        <f>3640743.78+809.58+3680.86+3924.01-24251.13</f>
        <v>3624907.0999999996</v>
      </c>
      <c r="C105" s="3">
        <v>79733.97</v>
      </c>
      <c r="D105" s="19">
        <f t="shared" si="6"/>
        <v>2.199614163905056</v>
      </c>
      <c r="E105" s="3">
        <f>742598.44+1135.34+312035.58+102459.15+2388.59+1033.97+195+6.75+35.69+1.67-9192.62-2530.12</f>
        <v>1150167.4399999995</v>
      </c>
      <c r="F105" s="3">
        <f>7489.93+855.37+22.5+0.01</f>
        <v>8367.810000000001</v>
      </c>
      <c r="G105" s="19">
        <f t="shared" si="5"/>
        <v>0.7275297238461215</v>
      </c>
      <c r="H105" s="5">
        <f t="shared" si="8"/>
        <v>4775074.539999999</v>
      </c>
      <c r="I105" s="5">
        <f t="shared" si="9"/>
        <v>88101.78</v>
      </c>
      <c r="J105" s="19">
        <f t="shared" si="7"/>
        <v>1.8450346536370514</v>
      </c>
    </row>
    <row r="106" spans="1:10" ht="12.75">
      <c r="A106" s="1" t="s">
        <v>107</v>
      </c>
      <c r="B106" s="3">
        <f>66616.7-147.25</f>
        <v>66469.45</v>
      </c>
      <c r="C106" s="3">
        <v>1848.69</v>
      </c>
      <c r="D106" s="19">
        <f t="shared" si="6"/>
        <v>2.7812626702943986</v>
      </c>
      <c r="E106" s="3">
        <f>3243.23+187.35</f>
        <v>3430.58</v>
      </c>
      <c r="F106" s="3">
        <v>0</v>
      </c>
      <c r="G106" s="19">
        <f t="shared" si="5"/>
        <v>0</v>
      </c>
      <c r="H106" s="5">
        <f t="shared" si="8"/>
        <v>69900.03</v>
      </c>
      <c r="I106" s="5">
        <f t="shared" si="9"/>
        <v>1848.69</v>
      </c>
      <c r="J106" s="19">
        <f t="shared" si="7"/>
        <v>2.644762813406518</v>
      </c>
    </row>
    <row r="107" spans="1:10" ht="12.75">
      <c r="A107" s="1" t="s">
        <v>108</v>
      </c>
      <c r="B107" s="3">
        <f>437043.65+21.35+200.61+206.18-5716.96</f>
        <v>431754.82999999996</v>
      </c>
      <c r="C107" s="3">
        <v>18052.8</v>
      </c>
      <c r="D107" s="19">
        <f t="shared" si="6"/>
        <v>4.181261851778243</v>
      </c>
      <c r="E107" s="3">
        <f>57419.21+13067.39+4992.16+8.55-324.16-30</f>
        <v>75133.15000000001</v>
      </c>
      <c r="F107" s="3">
        <f>1859.47+5365.78+719.71</f>
        <v>7944.96</v>
      </c>
      <c r="G107" s="19">
        <f t="shared" si="5"/>
        <v>10.574506725726259</v>
      </c>
      <c r="H107" s="5">
        <f t="shared" si="8"/>
        <v>506887.98</v>
      </c>
      <c r="I107" s="5">
        <f t="shared" si="9"/>
        <v>25997.76</v>
      </c>
      <c r="J107" s="19">
        <f t="shared" si="7"/>
        <v>5.128896526605345</v>
      </c>
    </row>
    <row r="108" spans="1:10" ht="12.75">
      <c r="A108" s="1" t="s">
        <v>109</v>
      </c>
      <c r="B108" s="14">
        <f>1028602.61+1200.42+1673.92+79.97-4554.43</f>
        <v>1027002.49</v>
      </c>
      <c r="C108" s="14">
        <f>33725.81+1.15</f>
        <v>33726.96</v>
      </c>
      <c r="D108" s="18">
        <f t="shared" si="6"/>
        <v>3.2840193016474575</v>
      </c>
      <c r="E108" s="14">
        <f>203665.3+94804.32+28079.46+2.96+4523.35-2.95</f>
        <v>331072.44</v>
      </c>
      <c r="F108" s="14">
        <f>3927.91+310.75</f>
        <v>4238.66</v>
      </c>
      <c r="G108" s="18">
        <f t="shared" si="5"/>
        <v>1.2802817413614977</v>
      </c>
      <c r="H108" s="15">
        <f t="shared" si="8"/>
        <v>1358074.93</v>
      </c>
      <c r="I108" s="15">
        <f t="shared" si="9"/>
        <v>37965.619999999995</v>
      </c>
      <c r="J108" s="18">
        <f t="shared" si="7"/>
        <v>2.7955467817964945</v>
      </c>
    </row>
    <row r="109" spans="1:10" ht="12.75">
      <c r="A109" s="1" t="s">
        <v>110</v>
      </c>
      <c r="B109" s="3">
        <f>911080.31+2293.48+1008.41+6408.66+1500-3723.68</f>
        <v>918567.18</v>
      </c>
      <c r="C109" s="3">
        <v>28317.68</v>
      </c>
      <c r="D109" s="19">
        <f t="shared" si="6"/>
        <v>3.082809904007239</v>
      </c>
      <c r="E109" s="3">
        <f>134248.52+101.17+100037.06+47303.42+78.86+3434.69-59.36-175.38-49.5</f>
        <v>284919.48</v>
      </c>
      <c r="F109" s="3">
        <f>1508.13+9.71+305.17+124.86</f>
        <v>1947.8700000000001</v>
      </c>
      <c r="G109" s="19">
        <f t="shared" si="5"/>
        <v>0.6836563087929264</v>
      </c>
      <c r="H109" s="5">
        <f t="shared" si="8"/>
        <v>1203486.6600000001</v>
      </c>
      <c r="I109" s="5">
        <f t="shared" si="9"/>
        <v>30265.55</v>
      </c>
      <c r="J109" s="19">
        <f t="shared" si="7"/>
        <v>2.51482222495096</v>
      </c>
    </row>
    <row r="110" spans="1:10" ht="12.75">
      <c r="A110" s="1" t="s">
        <v>111</v>
      </c>
      <c r="B110" s="3">
        <f>4107404.89+18897.9+1006.19+2683.84+51000+13.94-20830.46</f>
        <v>4160176.3</v>
      </c>
      <c r="C110" s="3">
        <f>127007.05+660.78</f>
        <v>127667.83</v>
      </c>
      <c r="D110" s="19">
        <f t="shared" si="6"/>
        <v>3.068808165653941</v>
      </c>
      <c r="E110" s="3">
        <f>441717.69+811.98+296407.01+104437.27+280.3+917.87+117.38+100.54+13837.32-998.78</f>
        <v>857628.58</v>
      </c>
      <c r="F110" s="3">
        <f>6411.39+61.34+10.67+1.63</f>
        <v>6485.030000000001</v>
      </c>
      <c r="G110" s="19">
        <f t="shared" si="5"/>
        <v>0.7561583360479895</v>
      </c>
      <c r="H110" s="5">
        <f t="shared" si="8"/>
        <v>5017804.88</v>
      </c>
      <c r="I110" s="5">
        <f t="shared" si="9"/>
        <v>134152.86000000002</v>
      </c>
      <c r="J110" s="19">
        <f t="shared" si="7"/>
        <v>2.6735367996214316</v>
      </c>
    </row>
    <row r="111" spans="1:10" ht="12.75">
      <c r="A111" s="1" t="s">
        <v>112</v>
      </c>
      <c r="B111" s="14">
        <f>3180116.13+123.34+1959.44-9350.18</f>
        <v>3172848.7299999995</v>
      </c>
      <c r="C111" s="14">
        <v>68549.15</v>
      </c>
      <c r="D111" s="18">
        <f t="shared" si="6"/>
        <v>2.1604922211340343</v>
      </c>
      <c r="E111" s="14">
        <f>578464.08+85.65+10.87+456188.81+57.78+88852.35+287.42+17.92-1033.9-2.3</f>
        <v>1122928.68</v>
      </c>
      <c r="F111" s="14">
        <f>32528.61+1113.34+1473.29</f>
        <v>35115.24</v>
      </c>
      <c r="G111" s="18">
        <f t="shared" si="5"/>
        <v>3.1271122223007075</v>
      </c>
      <c r="H111" s="15">
        <f t="shared" si="8"/>
        <v>4295777.409999999</v>
      </c>
      <c r="I111" s="15">
        <f t="shared" si="9"/>
        <v>103664.38999999998</v>
      </c>
      <c r="J111" s="18">
        <f t="shared" si="7"/>
        <v>2.4131694942732147</v>
      </c>
    </row>
    <row r="112" spans="1:10" ht="12.75">
      <c r="A112" s="1" t="s">
        <v>113</v>
      </c>
      <c r="B112" s="3">
        <f>1169250.93+82.23+478.36-1581.73</f>
        <v>1168229.79</v>
      </c>
      <c r="C112" s="3">
        <f>28747.3+40.76</f>
        <v>28788.059999999998</v>
      </c>
      <c r="D112" s="19">
        <f t="shared" si="6"/>
        <v>2.4642463534507195</v>
      </c>
      <c r="E112" s="3">
        <f>229993.95+290562.38+47877.75+487.09+181.09</f>
        <v>569102.26</v>
      </c>
      <c r="F112" s="3">
        <f>685.04+7.5</f>
        <v>692.54</v>
      </c>
      <c r="G112" s="19">
        <f t="shared" si="5"/>
        <v>0.12168990507962488</v>
      </c>
      <c r="H112" s="5">
        <f t="shared" si="8"/>
        <v>1737332.05</v>
      </c>
      <c r="I112" s="5">
        <f t="shared" si="9"/>
        <v>29480.6</v>
      </c>
      <c r="J112" s="19">
        <f t="shared" si="7"/>
        <v>1.6968892043406438</v>
      </c>
    </row>
    <row r="113" spans="1:10" ht="12.75">
      <c r="A113" s="1" t="s">
        <v>114</v>
      </c>
      <c r="B113" s="3">
        <f>1191847.22+214.11+173.85-3050.54</f>
        <v>1189184.6400000001</v>
      </c>
      <c r="C113" s="3">
        <v>21258.85</v>
      </c>
      <c r="D113" s="19">
        <f t="shared" si="6"/>
        <v>1.7876828614268006</v>
      </c>
      <c r="E113" s="3">
        <f>36558.98+253.78+1300.96+60.26+138.22+10.15-31.1</f>
        <v>38291.25000000001</v>
      </c>
      <c r="F113" s="3">
        <f>882.8+0.15</f>
        <v>882.9499999999999</v>
      </c>
      <c r="G113" s="19">
        <f t="shared" si="5"/>
        <v>2.305879280514477</v>
      </c>
      <c r="H113" s="5">
        <f t="shared" si="8"/>
        <v>1227475.8900000001</v>
      </c>
      <c r="I113" s="5">
        <f t="shared" si="9"/>
        <v>22141.8</v>
      </c>
      <c r="J113" s="19">
        <f t="shared" si="7"/>
        <v>1.8038480576592015</v>
      </c>
    </row>
    <row r="114" spans="1:10" ht="12.75">
      <c r="A114" s="1" t="s">
        <v>115</v>
      </c>
      <c r="B114" s="14">
        <f>1139513.54+856.87+78.18+1114.92-4758.12</f>
        <v>1136805.39</v>
      </c>
      <c r="C114" s="14">
        <v>15780.06</v>
      </c>
      <c r="D114" s="18">
        <f t="shared" si="6"/>
        <v>1.3881056633624864</v>
      </c>
      <c r="E114" s="14">
        <f>308855.98+9+76169.64+30085.51+331.08+766+1.65-194.16</f>
        <v>416024.70000000007</v>
      </c>
      <c r="F114" s="14">
        <f>3358.62+24.57+416.68+0.45</f>
        <v>3800.3199999999997</v>
      </c>
      <c r="G114" s="18">
        <f t="shared" si="5"/>
        <v>0.9134842234126962</v>
      </c>
      <c r="H114" s="15">
        <f t="shared" si="8"/>
        <v>1552830.0899999999</v>
      </c>
      <c r="I114" s="15">
        <f t="shared" si="9"/>
        <v>19580.379999999997</v>
      </c>
      <c r="J114" s="18">
        <f t="shared" si="7"/>
        <v>1.2609480023664406</v>
      </c>
    </row>
    <row r="115" spans="1:10" ht="12.75">
      <c r="A115" s="1" t="s">
        <v>116</v>
      </c>
      <c r="B115" s="3">
        <f>465493.89+42.7+353.02-1280.03</f>
        <v>464609.58</v>
      </c>
      <c r="C115" s="3">
        <v>10416.17</v>
      </c>
      <c r="D115" s="19">
        <f t="shared" si="6"/>
        <v>2.2419189031788798</v>
      </c>
      <c r="E115" s="3">
        <f>32769.09+22806.44+9400.12+1223.28+46.95</f>
        <v>66245.88</v>
      </c>
      <c r="F115" s="3">
        <f>52.06+36.4</f>
        <v>88.46000000000001</v>
      </c>
      <c r="G115" s="19">
        <f aca="true" t="shared" si="10" ref="G115:G125">F115/E115*100</f>
        <v>0.13353283253237788</v>
      </c>
      <c r="H115" s="5">
        <f t="shared" si="8"/>
        <v>530855.46</v>
      </c>
      <c r="I115" s="5">
        <f t="shared" si="9"/>
        <v>10504.63</v>
      </c>
      <c r="J115" s="19">
        <f t="shared" si="7"/>
        <v>1.9788117089348578</v>
      </c>
    </row>
    <row r="116" spans="1:10" ht="12.75">
      <c r="A116" s="1" t="s">
        <v>117</v>
      </c>
      <c r="B116" s="3">
        <f>866383.94+141.22+196.05-3115.96</f>
        <v>863605.25</v>
      </c>
      <c r="C116" s="3">
        <v>13630.78</v>
      </c>
      <c r="D116" s="19">
        <f t="shared" si="6"/>
        <v>1.5783577045183548</v>
      </c>
      <c r="E116" s="3">
        <f>51881.59+74214.74+12588.54+22800.86+16.76-180</f>
        <v>161322.49</v>
      </c>
      <c r="F116" s="3">
        <f>471.08+0.24</f>
        <v>471.32</v>
      </c>
      <c r="G116" s="19">
        <f t="shared" si="10"/>
        <v>0.29216013216756076</v>
      </c>
      <c r="H116" s="5">
        <f t="shared" si="8"/>
        <v>1024927.74</v>
      </c>
      <c r="I116" s="5">
        <f t="shared" si="9"/>
        <v>14102.1</v>
      </c>
      <c r="J116" s="19">
        <f t="shared" si="7"/>
        <v>1.375911632560555</v>
      </c>
    </row>
    <row r="117" spans="1:10" ht="12.75">
      <c r="A117" s="1" t="s">
        <v>118</v>
      </c>
      <c r="B117" s="14">
        <f>349948.83+36.29+90.64+521.65-1237.69</f>
        <v>349359.72000000003</v>
      </c>
      <c r="C117" s="14">
        <f>7442+41.11</f>
        <v>7483.11</v>
      </c>
      <c r="D117" s="18">
        <f t="shared" si="6"/>
        <v>2.1419498504292362</v>
      </c>
      <c r="E117" s="14">
        <f>57499.46+722.04+105.7+0.6+0.19-230.99</f>
        <v>58097</v>
      </c>
      <c r="F117" s="14">
        <f>279.63+17.99</f>
        <v>297.62</v>
      </c>
      <c r="G117" s="18">
        <f t="shared" si="10"/>
        <v>0.5122811849148837</v>
      </c>
      <c r="H117" s="15">
        <f t="shared" si="8"/>
        <v>407456.72000000003</v>
      </c>
      <c r="I117" s="15">
        <f t="shared" si="9"/>
        <v>7780.73</v>
      </c>
      <c r="J117" s="18">
        <f t="shared" si="7"/>
        <v>1.9095844093576366</v>
      </c>
    </row>
    <row r="118" spans="1:10" ht="12.75">
      <c r="A118" s="1" t="s">
        <v>119</v>
      </c>
      <c r="B118" s="3">
        <f>560770.42+13.35+49551.37-1093.55</f>
        <v>609241.59</v>
      </c>
      <c r="C118" s="3">
        <f>141.9+9858.9</f>
        <v>10000.8</v>
      </c>
      <c r="D118" s="19">
        <f t="shared" si="6"/>
        <v>1.6415162989775534</v>
      </c>
      <c r="E118" s="3">
        <f>290821.71+85804.55+22379.84+452.25+1292.98+4.25</f>
        <v>400755.58</v>
      </c>
      <c r="F118" s="3">
        <f>475.17+37.03</f>
        <v>512.2</v>
      </c>
      <c r="G118" s="19">
        <f t="shared" si="10"/>
        <v>0.12780857599038298</v>
      </c>
      <c r="H118" s="5">
        <f t="shared" si="8"/>
        <v>1009997.1699999999</v>
      </c>
      <c r="I118" s="5">
        <f t="shared" si="9"/>
        <v>10513</v>
      </c>
      <c r="J118" s="19">
        <f t="shared" si="7"/>
        <v>1.0408940056733031</v>
      </c>
    </row>
    <row r="119" spans="1:10" ht="12.75">
      <c r="A119" s="1" t="s">
        <v>120</v>
      </c>
      <c r="B119" s="3">
        <f>7537150.46+3585.54+13227.24+5044.94+166.78+31459.05-14118.18-167.56</f>
        <v>7576348.270000001</v>
      </c>
      <c r="C119" s="3">
        <v>91490.57</v>
      </c>
      <c r="D119" s="19">
        <f t="shared" si="6"/>
        <v>1.2075813669003892</v>
      </c>
      <c r="E119" s="3">
        <f>1567762.09+396.44+974203.43+284876.56+1652.36+22023.33+10.72-5920.77-1655.61</f>
        <v>2843348.5500000003</v>
      </c>
      <c r="F119" s="3">
        <f>17708.12+11328.44+10020.24</f>
        <v>39056.799999999996</v>
      </c>
      <c r="G119" s="19">
        <f t="shared" si="10"/>
        <v>1.3736198469230934</v>
      </c>
      <c r="H119" s="5">
        <f t="shared" si="8"/>
        <v>10419696.820000002</v>
      </c>
      <c r="I119" s="5">
        <f t="shared" si="9"/>
        <v>130547.37</v>
      </c>
      <c r="J119" s="19">
        <f t="shared" si="7"/>
        <v>1.2528902928290766</v>
      </c>
    </row>
    <row r="120" spans="1:10" ht="12.75">
      <c r="A120" s="1" t="s">
        <v>121</v>
      </c>
      <c r="B120" s="14">
        <f>547080.27+1008.21+18.35-1664.99</f>
        <v>546441.84</v>
      </c>
      <c r="C120" s="14">
        <v>7447.98</v>
      </c>
      <c r="D120" s="18">
        <f t="shared" si="6"/>
        <v>1.3629959228597868</v>
      </c>
      <c r="E120" s="14">
        <f>112536.51+99539.83+18114.43+90.64+1.58-346.31</f>
        <v>229936.68</v>
      </c>
      <c r="F120" s="14">
        <v>226.55</v>
      </c>
      <c r="G120" s="18">
        <f t="shared" si="10"/>
        <v>0.09852712494587643</v>
      </c>
      <c r="H120" s="15">
        <f t="shared" si="8"/>
        <v>776378.52</v>
      </c>
      <c r="I120" s="15">
        <f t="shared" si="9"/>
        <v>7674.53</v>
      </c>
      <c r="J120" s="18">
        <f t="shared" si="7"/>
        <v>0.9885036489675165</v>
      </c>
    </row>
    <row r="121" spans="1:10" ht="12.75">
      <c r="A121" s="1" t="s">
        <v>122</v>
      </c>
      <c r="B121" s="3">
        <f>780486.18+79.3+1057.8+98.21-3533.28</f>
        <v>778188.2100000001</v>
      </c>
      <c r="C121" s="3">
        <v>14987.37</v>
      </c>
      <c r="D121" s="19">
        <f t="shared" si="6"/>
        <v>1.9259312602538659</v>
      </c>
      <c r="E121" s="3">
        <f>96809.92+73.55+66927.5+22285.38+9.93+1261.94+57.87-335.32-73.63</f>
        <v>187017.13999999998</v>
      </c>
      <c r="F121" s="3">
        <f>5289.74+348.69+1612.4</f>
        <v>7250.83</v>
      </c>
      <c r="G121" s="19">
        <f t="shared" si="10"/>
        <v>3.877093832148219</v>
      </c>
      <c r="H121" s="5">
        <f t="shared" si="8"/>
        <v>965205.3500000001</v>
      </c>
      <c r="I121" s="5">
        <f t="shared" si="9"/>
        <v>22238.2</v>
      </c>
      <c r="J121" s="19">
        <f t="shared" si="7"/>
        <v>2.303986400406919</v>
      </c>
    </row>
    <row r="122" spans="1:10" ht="12.75">
      <c r="A122" s="1" t="s">
        <v>123</v>
      </c>
      <c r="B122" s="3">
        <f>427029.87+41.11+20486.7+597.59+2097.7-880.02</f>
        <v>449372.95</v>
      </c>
      <c r="C122" s="3">
        <v>12883.85</v>
      </c>
      <c r="D122" s="19">
        <f t="shared" si="6"/>
        <v>2.867072884560586</v>
      </c>
      <c r="E122" s="3">
        <f>339242.73+44897.58+8891.1+8.98</f>
        <v>393040.38999999996</v>
      </c>
      <c r="F122" s="3">
        <f>302.85+1.31</f>
        <v>304.16</v>
      </c>
      <c r="G122" s="19">
        <f t="shared" si="10"/>
        <v>0.07738644875657692</v>
      </c>
      <c r="H122" s="5">
        <f t="shared" si="8"/>
        <v>842413.34</v>
      </c>
      <c r="I122" s="5">
        <f t="shared" si="9"/>
        <v>13188.01</v>
      </c>
      <c r="J122" s="19">
        <f t="shared" si="7"/>
        <v>1.5655034617566719</v>
      </c>
    </row>
    <row r="123" spans="1:10" ht="12.75">
      <c r="A123" s="1" t="s">
        <v>124</v>
      </c>
      <c r="B123" s="3">
        <f>1138895.28+41.11+60970.04+2105.9+540-13203.63</f>
        <v>1189348.7000000002</v>
      </c>
      <c r="C123" s="3">
        <v>84197.38</v>
      </c>
      <c r="D123" s="19">
        <f t="shared" si="6"/>
        <v>7.079284653861394</v>
      </c>
      <c r="E123" s="3">
        <f>214796.66+4382.44+77623.45+150.93+49304.3+1319.75+353.21+0.03-1090.87-58.89-985.97-0.03</f>
        <v>345795.01</v>
      </c>
      <c r="F123" s="3">
        <f>9244.95+12975.46+725.73</f>
        <v>22946.14</v>
      </c>
      <c r="G123" s="19">
        <f t="shared" si="10"/>
        <v>6.635763772299663</v>
      </c>
      <c r="H123" s="5">
        <f t="shared" si="8"/>
        <v>1535143.7100000002</v>
      </c>
      <c r="I123" s="5">
        <f t="shared" si="9"/>
        <v>107143.52</v>
      </c>
      <c r="J123" s="19">
        <f t="shared" si="7"/>
        <v>6.979380451619085</v>
      </c>
    </row>
    <row r="124" spans="1:10" ht="12.75">
      <c r="A124" s="1" t="s">
        <v>125</v>
      </c>
      <c r="B124" s="3">
        <f>180766.8+15146.03-1859.3</f>
        <v>194053.53</v>
      </c>
      <c r="C124" s="3">
        <f>10288.38+110.53</f>
        <v>10398.91</v>
      </c>
      <c r="D124" s="19">
        <f t="shared" si="6"/>
        <v>5.3587842488616415</v>
      </c>
      <c r="E124" s="3">
        <f>22102.58+255.29+6556.83</f>
        <v>28914.700000000004</v>
      </c>
      <c r="F124" s="3">
        <f>1.57+891.8+55.36+18.51</f>
        <v>967.24</v>
      </c>
      <c r="G124" s="19">
        <f t="shared" si="10"/>
        <v>3.34514969894206</v>
      </c>
      <c r="H124" s="5">
        <f t="shared" si="8"/>
        <v>222968.23</v>
      </c>
      <c r="I124" s="5">
        <f t="shared" si="9"/>
        <v>11366.15</v>
      </c>
      <c r="J124" s="19">
        <f t="shared" si="7"/>
        <v>5.0976544954408975</v>
      </c>
    </row>
    <row r="125" spans="1:10" ht="12.75">
      <c r="A125" s="1" t="s">
        <v>126</v>
      </c>
      <c r="B125" s="3">
        <f>2461349.17+41.11+22.69-3824.33</f>
        <v>2457588.6399999997</v>
      </c>
      <c r="C125" s="3">
        <v>66082.03</v>
      </c>
      <c r="D125" s="19">
        <f t="shared" si="6"/>
        <v>2.6888971133916053</v>
      </c>
      <c r="E125" s="3">
        <f>195396.96+129308.47+211.03+158586.17+91695.42+23656.81+2677.2+64.05+1882.66-336.99</f>
        <v>603141.7800000001</v>
      </c>
      <c r="F125" s="3">
        <f>6486.45+71.79+14.69</f>
        <v>6572.929999999999</v>
      </c>
      <c r="G125" s="19">
        <f t="shared" si="10"/>
        <v>1.0897819083267617</v>
      </c>
      <c r="H125" s="5">
        <f t="shared" si="8"/>
        <v>3060730.42</v>
      </c>
      <c r="I125" s="5">
        <f t="shared" si="9"/>
        <v>72654.95999999999</v>
      </c>
      <c r="J125" s="19">
        <f t="shared" si="7"/>
        <v>2.373778478667847</v>
      </c>
    </row>
    <row r="126" spans="1:10" ht="13.5" thickBot="1">
      <c r="A126" s="2"/>
      <c r="B126" s="4"/>
      <c r="C126" s="4"/>
      <c r="D126" s="20"/>
      <c r="E126" s="4"/>
      <c r="F126" s="4"/>
      <c r="G126" s="20"/>
      <c r="H126" s="6"/>
      <c r="I126" s="6"/>
      <c r="J126" s="2"/>
    </row>
    <row r="127" spans="1:10" ht="13.5" thickTop="1">
      <c r="A127" s="1" t="s">
        <v>127</v>
      </c>
      <c r="B127" s="12">
        <f>SUM(B6:B125)</f>
        <v>268017570.62999997</v>
      </c>
      <c r="C127" s="12">
        <f>SUM(C6:C125)</f>
        <v>6782308.959999999</v>
      </c>
      <c r="D127" s="21">
        <f>C127/B127*100</f>
        <v>2.530546390692803</v>
      </c>
      <c r="E127" s="12">
        <f>SUM(E6:E125)</f>
        <v>85441343.50000004</v>
      </c>
      <c r="F127" s="12">
        <f>SUM(F6:F125)</f>
        <v>1430774.4400000002</v>
      </c>
      <c r="G127" s="21">
        <f>F127/E127*100</f>
        <v>1.6745692206958325</v>
      </c>
      <c r="H127" s="12">
        <f>SUM(H6:H125)</f>
        <v>353458914.1300002</v>
      </c>
      <c r="I127" s="12">
        <f>SUM(I6:I125)</f>
        <v>8213083.399999996</v>
      </c>
      <c r="J127" s="21">
        <f>I127/H127*100</f>
        <v>2.323631707016242</v>
      </c>
    </row>
    <row r="129" spans="1:10" ht="12.75">
      <c r="A129" s="17">
        <v>40582</v>
      </c>
      <c r="B129" s="23" t="s">
        <v>128</v>
      </c>
      <c r="C129" s="23"/>
      <c r="D129" s="23"/>
      <c r="E129" s="23"/>
      <c r="F129" s="23"/>
      <c r="G129" s="23"/>
      <c r="H129" s="23"/>
      <c r="I129" s="23"/>
      <c r="J129" s="23"/>
    </row>
  </sheetData>
  <sheetProtection/>
  <mergeCells count="3">
    <mergeCell ref="A1:J1"/>
    <mergeCell ref="A2:J2"/>
    <mergeCell ref="B129:J129"/>
  </mergeCells>
  <printOptions horizontalCentered="1"/>
  <pageMargins left="0.2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</dc:title>
  <dc:subject/>
  <dc:creator>rev0760</dc:creator>
  <cp:keywords/>
  <dc:description/>
  <cp:lastModifiedBy>Janie Patterson</cp:lastModifiedBy>
  <cp:lastPrinted>2011-02-07T16:12:14Z</cp:lastPrinted>
  <dcterms:created xsi:type="dcterms:W3CDTF">2008-01-31T15:08:19Z</dcterms:created>
  <dcterms:modified xsi:type="dcterms:W3CDTF">2011-02-08T15:41:22Z</dcterms:modified>
  <cp:category/>
  <cp:version/>
  <cp:contentType/>
  <cp:contentStatus/>
</cp:coreProperties>
</file>